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ate1904="1" codeName="ThisWorkbook" autoCompressPictures="0"/>
  <mc:AlternateContent xmlns:mc="http://schemas.openxmlformats.org/markup-compatibility/2006">
    <mc:Choice Requires="x15">
      <x15ac:absPath xmlns:x15ac="http://schemas.microsoft.com/office/spreadsheetml/2010/11/ac" url="C:\Users\Mijo\Desktop\Navigare Yachting\Navigare documents 2015\Price list preparation 2018\Newest price-list 2018\"/>
    </mc:Choice>
  </mc:AlternateContent>
  <xr:revisionPtr revIDLastSave="0" documentId="8_{5FD9C5CF-F62A-464B-A89D-C121C3100667}" xr6:coauthVersionLast="28" xr6:coauthVersionMax="28" xr10:uidLastSave="{00000000-0000-0000-0000-000000000000}"/>
  <bookViews>
    <workbookView xWindow="0" yWindow="0" windowWidth="28800" windowHeight="12210" tabRatio="901" xr2:uid="{00000000-000D-0000-FFFF-FFFF00000000}"/>
  </bookViews>
  <sheets>
    <sheet name="Croatia" sheetId="8" r:id="rId1"/>
    <sheet name="Croatia Cabin Charter" sheetId="49" r:id="rId2"/>
    <sheet name="Greece" sheetId="42" r:id="rId3"/>
    <sheet name="BVI" sheetId="15" r:id="rId4"/>
    <sheet name="Sweden" sheetId="45" r:id="rId5"/>
    <sheet name="Thailand" sheetId="14" r:id="rId6"/>
    <sheet name="Maldives" sheetId="40" r:id="rId7"/>
    <sheet name="Turkey" sheetId="48" r:id="rId8"/>
    <sheet name="Italy" sheetId="50" r:id="rId9"/>
    <sheet name="Spain" sheetId="52" r:id="rId10"/>
    <sheet name="DV-IDENTITY-0" sheetId="5" state="veryHidden" r:id="rId11"/>
  </sheets>
  <definedNames>
    <definedName name="akljdfal" localSheetId="1">#REF!</definedName>
    <definedName name="akljdfal" localSheetId="2">#REF!</definedName>
    <definedName name="akljdfal" localSheetId="8">#REF!</definedName>
    <definedName name="akljdfal" localSheetId="6">#REF!</definedName>
    <definedName name="akljdfal" localSheetId="9">#REF!</definedName>
    <definedName name="akljdfal" localSheetId="4">#REF!</definedName>
    <definedName name="akljdfal" localSheetId="7">#REF!</definedName>
    <definedName name="akljdfal">#REF!</definedName>
    <definedName name="asdf" localSheetId="1">#REF!</definedName>
    <definedName name="asdf" localSheetId="2">#REF!</definedName>
    <definedName name="asdf" localSheetId="8">#REF!</definedName>
    <definedName name="asdf" localSheetId="6">#REF!</definedName>
    <definedName name="asdf" localSheetId="9">#REF!</definedName>
    <definedName name="asdf" localSheetId="4">#REF!</definedName>
    <definedName name="asdf" localSheetId="7">#REF!</definedName>
    <definedName name="asdf">#REF!</definedName>
    <definedName name="BNe" localSheetId="1">#REF!</definedName>
    <definedName name="BNe" localSheetId="2">#REF!</definedName>
    <definedName name="BNe" localSheetId="8">#REF!</definedName>
    <definedName name="BNe" localSheetId="6">#REF!</definedName>
    <definedName name="BNe" localSheetId="9">#REF!</definedName>
    <definedName name="BNe" localSheetId="4">#REF!</definedName>
    <definedName name="BNe" localSheetId="7">#REF!</definedName>
    <definedName name="BNe">#REF!</definedName>
    <definedName name="Greece..." localSheetId="1">#REF!</definedName>
    <definedName name="Greece..." localSheetId="2">#REF!</definedName>
    <definedName name="Greece..." localSheetId="8">#REF!</definedName>
    <definedName name="Greece..." localSheetId="6">#REF!</definedName>
    <definedName name="Greece..." localSheetId="9">#REF!</definedName>
    <definedName name="Greece..." localSheetId="4">#REF!</definedName>
    <definedName name="Greece..." localSheetId="7">#REF!</definedName>
    <definedName name="Greece...">#REF!</definedName>
    <definedName name="Greece1" localSheetId="1">#REF!</definedName>
    <definedName name="Greece1" localSheetId="2">#REF!</definedName>
    <definedName name="Greece1" localSheetId="8">#REF!</definedName>
    <definedName name="Greece1" localSheetId="6">#REF!</definedName>
    <definedName name="Greece1" localSheetId="9">#REF!</definedName>
    <definedName name="Greece1" localSheetId="4">#REF!</definedName>
    <definedName name="Greece1" localSheetId="7">#REF!</definedName>
    <definedName name="Greece1">#REF!</definedName>
    <definedName name="JJJJJ" localSheetId="1">#REF!</definedName>
    <definedName name="JJJJJ" localSheetId="2">#REF!</definedName>
    <definedName name="JJJJJ" localSheetId="8">#REF!</definedName>
    <definedName name="JJJJJ" localSheetId="6">#REF!</definedName>
    <definedName name="JJJJJ" localSheetId="9">#REF!</definedName>
    <definedName name="JJJJJ" localSheetId="4">#REF!</definedName>
    <definedName name="JJJJJ" localSheetId="7">#REF!</definedName>
    <definedName name="JJJJJ">#REF!</definedName>
    <definedName name="Maldivesnew" localSheetId="1">#REF!</definedName>
    <definedName name="Maldivesnew" localSheetId="2">#REF!</definedName>
    <definedName name="Maldivesnew" localSheetId="8">#REF!</definedName>
    <definedName name="Maldivesnew" localSheetId="6">#REF!</definedName>
    <definedName name="Maldivesnew" localSheetId="9">#REF!</definedName>
    <definedName name="Maldivesnew" localSheetId="4">#REF!</definedName>
    <definedName name="Maldivesnew" localSheetId="7">#REF!</definedName>
    <definedName name="Maldivesnew">#REF!</definedName>
    <definedName name="name" localSheetId="1">#REF!</definedName>
    <definedName name="name" localSheetId="2">#REF!</definedName>
    <definedName name="name" localSheetId="8">#REF!</definedName>
    <definedName name="name" localSheetId="6">#REF!</definedName>
    <definedName name="name" localSheetId="9">#REF!</definedName>
    <definedName name="name" localSheetId="4">#REF!</definedName>
    <definedName name="name" localSheetId="7">#REF!</definedName>
    <definedName name="name">#REF!</definedName>
    <definedName name="New" localSheetId="1">#REF!</definedName>
    <definedName name="New" localSheetId="2">#REF!</definedName>
    <definedName name="New" localSheetId="8">#REF!</definedName>
    <definedName name="New" localSheetId="6">#REF!</definedName>
    <definedName name="New" localSheetId="9">#REF!</definedName>
    <definedName name="New" localSheetId="4">#REF!</definedName>
    <definedName name="New" localSheetId="7">#REF!</definedName>
    <definedName name="New">#REF!</definedName>
    <definedName name="Newprint" localSheetId="1">#REF!</definedName>
    <definedName name="Newprint" localSheetId="2">#REF!</definedName>
    <definedName name="Newprint" localSheetId="8">#REF!</definedName>
    <definedName name="Newprint" localSheetId="6">#REF!</definedName>
    <definedName name="Newprint" localSheetId="9">#REF!</definedName>
    <definedName name="Newprint" localSheetId="4">#REF!</definedName>
    <definedName name="Newprint" localSheetId="7">#REF!</definedName>
    <definedName name="Newprint">#REF!</definedName>
    <definedName name="PIRN" localSheetId="1">#REF!</definedName>
    <definedName name="PIRN" localSheetId="2">#REF!</definedName>
    <definedName name="PIRN" localSheetId="8">#REF!</definedName>
    <definedName name="PIRN" localSheetId="6">#REF!</definedName>
    <definedName name="PIRN" localSheetId="9">#REF!</definedName>
    <definedName name="PIRN" localSheetId="4">#REF!</definedName>
    <definedName name="PIRN" localSheetId="7">#REF!</definedName>
    <definedName name="PIRN">#REF!</definedName>
    <definedName name="Print" localSheetId="3">#REF!</definedName>
    <definedName name="Print" localSheetId="1">#REF!</definedName>
    <definedName name="Print" localSheetId="2">#REF!</definedName>
    <definedName name="Print" localSheetId="8">#REF!</definedName>
    <definedName name="Print" localSheetId="6">#REF!</definedName>
    <definedName name="Print" localSheetId="9">#REF!</definedName>
    <definedName name="Print" localSheetId="4">#REF!</definedName>
    <definedName name="Print" localSheetId="5">#REF!</definedName>
    <definedName name="Print" localSheetId="7">#REF!</definedName>
    <definedName name="Print">#REF!</definedName>
    <definedName name="_xlnm.Print_Area" localSheetId="3">BVI!#REF!</definedName>
    <definedName name="_xlnm.Print_Area" localSheetId="0">Croatia!$A$1:$K$194</definedName>
    <definedName name="_xlnm.Print_Area" localSheetId="1">'Croatia Cabin Charter'!$A$1:$I$45</definedName>
    <definedName name="_xlnm.Print_Area" localSheetId="2">Greece!#REF!</definedName>
    <definedName name="_xlnm.Print_Area" localSheetId="8">Italy!#REF!</definedName>
    <definedName name="_xlnm.Print_Area" localSheetId="6">Maldives!$A$1:$K$45</definedName>
    <definedName name="_xlnm.Print_Area" localSheetId="9">Spain!#REF!</definedName>
    <definedName name="_xlnm.Print_Area" localSheetId="4">Sweden!#REF!</definedName>
    <definedName name="_xlnm.Print_Area" localSheetId="5">Thailand!$A$1:$M$45</definedName>
    <definedName name="_xlnm.Print_Area" localSheetId="7">Turkey!$A$1:$P$56</definedName>
    <definedName name="_xlnm.Print_Area">#REF!</definedName>
    <definedName name="rgfw4tgze46j57uj" localSheetId="1">#REF!</definedName>
    <definedName name="rgfw4tgze46j57uj" localSheetId="2">#REF!</definedName>
    <definedName name="rgfw4tgze46j57uj" localSheetId="8">#REF!</definedName>
    <definedName name="rgfw4tgze46j57uj" localSheetId="6">#REF!</definedName>
    <definedName name="rgfw4tgze46j57uj" localSheetId="9">#REF!</definedName>
    <definedName name="rgfw4tgze46j57uj" localSheetId="4">#REF!</definedName>
    <definedName name="rgfw4tgze46j57uj" localSheetId="7">#REF!</definedName>
    <definedName name="rgfw4tgze46j57uj">#REF!</definedName>
    <definedName name="s" localSheetId="1">#REF!</definedName>
    <definedName name="s" localSheetId="2">#REF!</definedName>
    <definedName name="s" localSheetId="8">#REF!</definedName>
    <definedName name="s" localSheetId="6">#REF!</definedName>
    <definedName name="s" localSheetId="9">#REF!</definedName>
    <definedName name="s" localSheetId="4">#REF!</definedName>
    <definedName name="s" localSheetId="7">#REF!</definedName>
    <definedName name="s">#REF!</definedName>
    <definedName name="Spain" localSheetId="1">#REF!</definedName>
    <definedName name="Spain" localSheetId="2">#REF!</definedName>
    <definedName name="Spain" localSheetId="8">#REF!</definedName>
    <definedName name="Spain" localSheetId="6">#REF!</definedName>
    <definedName name="Spain" localSheetId="9">#REF!</definedName>
    <definedName name="Spain" localSheetId="4">#REF!</definedName>
    <definedName name="Spain" localSheetId="7">#REF!</definedName>
    <definedName name="Spain">#REF!</definedName>
    <definedName name="Spain123" localSheetId="1">#REF!</definedName>
    <definedName name="Spain123" localSheetId="2">#REF!</definedName>
    <definedName name="Spain123" localSheetId="8">#REF!</definedName>
    <definedName name="Spain123" localSheetId="6">#REF!</definedName>
    <definedName name="Spain123" localSheetId="9">#REF!</definedName>
    <definedName name="Spain123" localSheetId="4">#REF!</definedName>
    <definedName name="Spain123" localSheetId="7">#REF!</definedName>
    <definedName name="Spain123">#REF!</definedName>
    <definedName name="SWE" localSheetId="1">#REF!</definedName>
    <definedName name="SWE" localSheetId="2">#REF!</definedName>
    <definedName name="SWE" localSheetId="8">#REF!</definedName>
    <definedName name="SWE" localSheetId="6">#REF!</definedName>
    <definedName name="SWE" localSheetId="9">#REF!</definedName>
    <definedName name="SWE" localSheetId="4">#REF!</definedName>
    <definedName name="SWE" localSheetId="7">#REF!</definedName>
    <definedName name="SWE">#REF!</definedName>
    <definedName name="Swedennew" localSheetId="1">#REF!</definedName>
    <definedName name="Swedennew" localSheetId="2">#REF!</definedName>
    <definedName name="Swedennew" localSheetId="8">#REF!</definedName>
    <definedName name="Swedennew" localSheetId="6">#REF!</definedName>
    <definedName name="Swedennew" localSheetId="9">#REF!</definedName>
    <definedName name="Swedennew" localSheetId="4">#REF!</definedName>
    <definedName name="Swedennew" localSheetId="7">#REF!</definedName>
    <definedName name="Swedennew">#REF!</definedName>
    <definedName name="Turkey" localSheetId="1">#REF!</definedName>
    <definedName name="Turkey" localSheetId="2">#REF!</definedName>
    <definedName name="Turkey" localSheetId="8">#REF!</definedName>
    <definedName name="Turkey" localSheetId="6">#REF!</definedName>
    <definedName name="Turkey" localSheetId="9">#REF!</definedName>
    <definedName name="Turkey" localSheetId="4">#REF!</definedName>
    <definedName name="Turkey" localSheetId="7">#REF!</definedName>
    <definedName name="Turkey">#REF!</definedName>
    <definedName name="Turkey1" localSheetId="1">#REF!</definedName>
    <definedName name="Turkey1" localSheetId="2">#REF!</definedName>
    <definedName name="Turkey1" localSheetId="8">#REF!</definedName>
    <definedName name="Turkey1" localSheetId="6">#REF!</definedName>
    <definedName name="Turkey1" localSheetId="9">#REF!</definedName>
    <definedName name="Turkey1" localSheetId="4">#REF!</definedName>
    <definedName name="Turkey1" localSheetId="7">#REF!</definedName>
    <definedName name="Turkey1">#REF!</definedName>
    <definedName name="vsdvsv" localSheetId="1">#REF!</definedName>
    <definedName name="vsdvsv" localSheetId="2">#REF!</definedName>
    <definedName name="vsdvsv" localSheetId="8">#REF!</definedName>
    <definedName name="vsdvsv" localSheetId="6">#REF!</definedName>
    <definedName name="vsdvsv" localSheetId="9">#REF!</definedName>
    <definedName name="vsdvsv" localSheetId="4">#REF!</definedName>
    <definedName name="vsdvsv" localSheetId="7">#REF!</definedName>
    <definedName name="vsdvsv">#REF!</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64" i="5" l="1"/>
  <c r="B64" i="5"/>
  <c r="C64" i="5"/>
  <c r="D64" i="5"/>
  <c r="E64" i="5"/>
  <c r="F64" i="5"/>
  <c r="G64" i="5"/>
  <c r="H64" i="5"/>
  <c r="I64" i="5"/>
  <c r="J64" i="5"/>
  <c r="K64" i="5"/>
  <c r="L64" i="5"/>
  <c r="M64" i="5"/>
  <c r="N64" i="5"/>
  <c r="O64" i="5"/>
  <c r="P64" i="5"/>
  <c r="R64" i="5"/>
  <c r="S64" i="5"/>
  <c r="T64" i="5"/>
  <c r="A63" i="5"/>
  <c r="B63" i="5"/>
  <c r="C63" i="5"/>
  <c r="D63" i="5"/>
  <c r="E63" i="5"/>
  <c r="F63" i="5"/>
  <c r="G63" i="5"/>
  <c r="H63" i="5"/>
  <c r="I63" i="5"/>
  <c r="J63" i="5"/>
  <c r="K63" i="5"/>
  <c r="L63" i="5"/>
  <c r="M63" i="5"/>
  <c r="N63" i="5"/>
  <c r="O63" i="5"/>
  <c r="Q63" i="5"/>
  <c r="R63" i="5"/>
  <c r="S63" i="5"/>
  <c r="A62" i="5"/>
  <c r="B62" i="5"/>
  <c r="C62"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P62" i="5"/>
  <c r="BQ62" i="5"/>
  <c r="BR62" i="5"/>
  <c r="A61" i="5"/>
  <c r="B61" i="5"/>
  <c r="C61" i="5"/>
  <c r="D61" i="5"/>
  <c r="E61" i="5"/>
  <c r="F61" i="5"/>
  <c r="G61" i="5"/>
  <c r="H61" i="5"/>
  <c r="I61" i="5"/>
  <c r="J61" i="5"/>
  <c r="K61" i="5"/>
  <c r="L61" i="5"/>
  <c r="M61" i="5"/>
  <c r="N61" i="5"/>
  <c r="O61" i="5"/>
  <c r="P61" i="5"/>
  <c r="Q61" i="5"/>
  <c r="R61" i="5"/>
  <c r="S61" i="5"/>
  <c r="T61" i="5"/>
  <c r="U61" i="5"/>
  <c r="V61" i="5"/>
  <c r="X61" i="5"/>
  <c r="Y61" i="5"/>
  <c r="Z61" i="5"/>
  <c r="A60" i="5"/>
  <c r="B60" i="5"/>
  <c r="C60"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BN60" i="5"/>
  <c r="BO60" i="5"/>
  <c r="BP60" i="5"/>
  <c r="BQ60" i="5"/>
  <c r="BR60" i="5"/>
  <c r="BS60" i="5"/>
  <c r="BT60" i="5"/>
  <c r="BU60" i="5"/>
  <c r="BV60" i="5"/>
  <c r="BW60" i="5"/>
  <c r="BX60" i="5"/>
  <c r="BY60" i="5"/>
  <c r="BZ60" i="5"/>
  <c r="CA60" i="5"/>
  <c r="CB60" i="5"/>
  <c r="CC60" i="5"/>
  <c r="CD60" i="5"/>
  <c r="CE60" i="5"/>
  <c r="CF60" i="5"/>
  <c r="CG60" i="5"/>
  <c r="CH60" i="5"/>
  <c r="CI60" i="5"/>
  <c r="CJ60" i="5"/>
  <c r="CK60" i="5"/>
  <c r="CL60" i="5"/>
  <c r="CM60" i="5"/>
  <c r="CN60" i="5"/>
  <c r="CO60" i="5"/>
  <c r="CP60" i="5"/>
  <c r="CQ60" i="5"/>
  <c r="CR60" i="5"/>
  <c r="CS60" i="5"/>
  <c r="CT60" i="5"/>
  <c r="CU60" i="5"/>
  <c r="CV60" i="5"/>
  <c r="CW60" i="5"/>
  <c r="CX60" i="5"/>
  <c r="CY60" i="5"/>
  <c r="CZ60" i="5"/>
  <c r="DA60" i="5"/>
  <c r="DB60" i="5"/>
  <c r="DC60" i="5"/>
  <c r="DD60" i="5"/>
  <c r="DE60" i="5"/>
  <c r="DF60" i="5"/>
  <c r="DG60" i="5"/>
  <c r="DH60" i="5"/>
  <c r="DI60" i="5"/>
  <c r="DJ60" i="5"/>
  <c r="DK60" i="5"/>
  <c r="DL60" i="5"/>
  <c r="DM60" i="5"/>
  <c r="DN60" i="5"/>
  <c r="DO60" i="5"/>
  <c r="DP60" i="5"/>
  <c r="DQ60" i="5"/>
  <c r="DR60" i="5"/>
  <c r="DS60" i="5"/>
  <c r="DT60" i="5"/>
  <c r="DU60" i="5"/>
  <c r="DV60" i="5"/>
  <c r="DW60" i="5"/>
  <c r="DX60" i="5"/>
  <c r="DY60" i="5"/>
  <c r="DZ60" i="5"/>
  <c r="EA60" i="5"/>
  <c r="EB60" i="5"/>
  <c r="EC60" i="5"/>
  <c r="ED60" i="5"/>
  <c r="EE60" i="5"/>
  <c r="EF60" i="5"/>
  <c r="EG60" i="5"/>
  <c r="EH60" i="5"/>
  <c r="EI60" i="5"/>
  <c r="EJ60" i="5"/>
  <c r="EK60" i="5"/>
  <c r="EL60" i="5"/>
  <c r="EM60" i="5"/>
  <c r="EN60" i="5"/>
  <c r="EO60" i="5"/>
  <c r="EP60" i="5"/>
  <c r="EQ60" i="5"/>
  <c r="ER60" i="5"/>
  <c r="ES60" i="5"/>
  <c r="ET60" i="5"/>
  <c r="EU60" i="5"/>
  <c r="EV60" i="5"/>
  <c r="EW60" i="5"/>
  <c r="EX60" i="5"/>
  <c r="EY60" i="5"/>
  <c r="EZ60" i="5"/>
  <c r="FA60" i="5"/>
  <c r="FB60" i="5"/>
  <c r="FC60" i="5"/>
  <c r="FD60" i="5"/>
  <c r="FE60" i="5"/>
  <c r="FF60" i="5"/>
  <c r="FG60" i="5"/>
  <c r="FH60" i="5"/>
  <c r="FI60" i="5"/>
  <c r="FJ60" i="5"/>
  <c r="FK60" i="5"/>
  <c r="FL60" i="5"/>
  <c r="FM60" i="5"/>
  <c r="FN60" i="5"/>
  <c r="FO60" i="5"/>
  <c r="FP60" i="5"/>
  <c r="FQ60" i="5"/>
  <c r="FR60" i="5"/>
  <c r="FS60" i="5"/>
  <c r="FT60" i="5"/>
  <c r="FU60" i="5"/>
  <c r="FV60" i="5"/>
  <c r="FW60" i="5"/>
  <c r="FX60" i="5"/>
  <c r="FY60" i="5"/>
  <c r="FZ60" i="5"/>
  <c r="GA60" i="5"/>
  <c r="GB60" i="5"/>
  <c r="GC60" i="5"/>
  <c r="GD60" i="5"/>
  <c r="GE60" i="5"/>
  <c r="GF60" i="5"/>
  <c r="GG60" i="5"/>
  <c r="GH60" i="5"/>
  <c r="GI60" i="5"/>
  <c r="GJ60" i="5"/>
  <c r="GK60" i="5"/>
  <c r="GL60" i="5"/>
  <c r="GM60" i="5"/>
  <c r="GN60" i="5"/>
  <c r="GO60" i="5"/>
  <c r="GP60" i="5"/>
  <c r="GQ60" i="5"/>
  <c r="GR60" i="5"/>
  <c r="GS60" i="5"/>
  <c r="GT60" i="5"/>
  <c r="GU60" i="5"/>
  <c r="GV60" i="5"/>
  <c r="GW60" i="5"/>
  <c r="GX60" i="5"/>
  <c r="GY60" i="5"/>
  <c r="GZ60" i="5"/>
  <c r="HA60" i="5"/>
  <c r="HB60" i="5"/>
  <c r="HC60" i="5"/>
  <c r="HD60" i="5"/>
  <c r="HE60" i="5"/>
  <c r="HF60" i="5"/>
  <c r="HG60" i="5"/>
  <c r="HH60" i="5"/>
  <c r="HI60" i="5"/>
  <c r="HJ60" i="5"/>
  <c r="HK60" i="5"/>
  <c r="HL60" i="5"/>
  <c r="HN60" i="5"/>
  <c r="HO60" i="5"/>
  <c r="HP60" i="5"/>
  <c r="B59" i="5"/>
  <c r="C59" i="5"/>
  <c r="D59" i="5"/>
  <c r="B58" i="5"/>
  <c r="C58" i="5"/>
  <c r="D58" i="5"/>
  <c r="A57" i="5"/>
  <c r="B57" i="5"/>
  <c r="C57"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BO57" i="5"/>
  <c r="BP57" i="5"/>
  <c r="BQ57" i="5"/>
  <c r="BR57" i="5"/>
  <c r="BS57" i="5"/>
  <c r="BT57" i="5"/>
  <c r="BU57" i="5"/>
  <c r="BV57" i="5"/>
  <c r="BW57" i="5"/>
  <c r="BX57" i="5"/>
  <c r="BY57" i="5"/>
  <c r="BZ57" i="5"/>
  <c r="CA57" i="5"/>
  <c r="CB57" i="5"/>
  <c r="CC57" i="5"/>
  <c r="CD57" i="5"/>
  <c r="CE57" i="5"/>
  <c r="CF57" i="5"/>
  <c r="CG57" i="5"/>
  <c r="CH57" i="5"/>
  <c r="CI57" i="5"/>
  <c r="CJ57" i="5"/>
  <c r="CK57" i="5"/>
  <c r="CL57" i="5"/>
  <c r="CM57" i="5"/>
  <c r="CN57" i="5"/>
  <c r="CO57" i="5"/>
  <c r="CP57" i="5"/>
  <c r="CQ57" i="5"/>
  <c r="CR57" i="5"/>
  <c r="CS57"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DS57" i="5"/>
  <c r="DT57" i="5"/>
  <c r="DU57" i="5"/>
  <c r="DV57" i="5"/>
  <c r="DW57" i="5"/>
  <c r="DX57" i="5"/>
  <c r="DY57" i="5"/>
  <c r="DZ57" i="5"/>
  <c r="EA57" i="5"/>
  <c r="EB57" i="5"/>
  <c r="EC57" i="5"/>
  <c r="ED57" i="5"/>
  <c r="EE57" i="5"/>
  <c r="EF57" i="5"/>
  <c r="EG57" i="5"/>
  <c r="EH57" i="5"/>
  <c r="EI57" i="5"/>
  <c r="EJ57" i="5"/>
  <c r="EK57" i="5"/>
  <c r="EL57" i="5"/>
  <c r="EM57" i="5"/>
  <c r="EN57" i="5"/>
  <c r="EO57" i="5"/>
  <c r="EP57" i="5"/>
  <c r="EQ57" i="5"/>
  <c r="ER57" i="5"/>
  <c r="ES57" i="5"/>
  <c r="ET57" i="5"/>
  <c r="EU57" i="5"/>
  <c r="EV57" i="5"/>
  <c r="EW57" i="5"/>
  <c r="EX57" i="5"/>
  <c r="EY57" i="5"/>
  <c r="EZ57" i="5"/>
  <c r="FA57" i="5"/>
  <c r="FB57" i="5"/>
  <c r="FC57" i="5"/>
  <c r="FD57" i="5"/>
  <c r="FE57" i="5"/>
  <c r="FF57" i="5"/>
  <c r="FG57" i="5"/>
  <c r="FH57" i="5"/>
  <c r="FI57" i="5"/>
  <c r="FJ57" i="5"/>
  <c r="FK57" i="5"/>
  <c r="FL57" i="5"/>
  <c r="FM57" i="5"/>
  <c r="FN57" i="5"/>
  <c r="FO57" i="5"/>
  <c r="FP57" i="5"/>
  <c r="FQ57" i="5"/>
  <c r="FR57" i="5"/>
  <c r="FS57" i="5"/>
  <c r="FT57" i="5"/>
  <c r="FU57" i="5"/>
  <c r="FV57" i="5"/>
  <c r="FW57" i="5"/>
  <c r="FX57" i="5"/>
  <c r="FY57" i="5"/>
  <c r="FZ57" i="5"/>
  <c r="GA57" i="5"/>
  <c r="GB57" i="5"/>
  <c r="GC57" i="5"/>
  <c r="GD57" i="5"/>
  <c r="GE57" i="5"/>
  <c r="GF57" i="5"/>
  <c r="GG57" i="5"/>
  <c r="GH57" i="5"/>
  <c r="GI57" i="5"/>
  <c r="GJ57" i="5"/>
  <c r="GK57" i="5"/>
  <c r="GL57" i="5"/>
  <c r="GM57" i="5"/>
  <c r="GN57" i="5"/>
  <c r="GO57" i="5"/>
  <c r="GP57" i="5"/>
  <c r="GQ57" i="5"/>
  <c r="GR57" i="5"/>
  <c r="GS57" i="5"/>
  <c r="GT57" i="5"/>
  <c r="GU57" i="5"/>
  <c r="GV57" i="5"/>
  <c r="GW57" i="5"/>
  <c r="GX57" i="5"/>
  <c r="GY57" i="5"/>
  <c r="GZ57" i="5"/>
  <c r="HA57" i="5"/>
  <c r="HB57" i="5"/>
  <c r="HC57" i="5"/>
  <c r="HD57" i="5"/>
  <c r="HE57" i="5"/>
  <c r="HF57" i="5"/>
  <c r="HG57" i="5"/>
  <c r="HH57" i="5"/>
  <c r="HI57" i="5"/>
  <c r="HJ57" i="5"/>
  <c r="HK57" i="5"/>
  <c r="HL57" i="5"/>
  <c r="HM57" i="5"/>
  <c r="HN57" i="5"/>
  <c r="HO57" i="5"/>
  <c r="HP57" i="5"/>
  <c r="HQ57" i="5"/>
  <c r="HR57" i="5"/>
  <c r="HS57" i="5"/>
  <c r="HT57" i="5"/>
  <c r="HU57" i="5"/>
  <c r="HV57" i="5"/>
  <c r="HW57" i="5"/>
  <c r="HX57" i="5"/>
  <c r="HY57" i="5"/>
  <c r="HZ57" i="5"/>
  <c r="IA57" i="5"/>
  <c r="IC57" i="5"/>
  <c r="ID57" i="5"/>
  <c r="IE57" i="5"/>
  <c r="A56" i="5"/>
  <c r="B56" i="5"/>
  <c r="C56"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H56" i="5"/>
  <c r="AI56"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BN56" i="5"/>
  <c r="BO56" i="5"/>
  <c r="BP56" i="5"/>
  <c r="BQ56" i="5"/>
  <c r="BR56" i="5"/>
  <c r="BS56" i="5"/>
  <c r="BT56" i="5"/>
  <c r="BU56" i="5"/>
  <c r="BV56" i="5"/>
  <c r="BW56" i="5"/>
  <c r="BX56" i="5"/>
  <c r="BY56" i="5"/>
  <c r="BZ56" i="5"/>
  <c r="CA56" i="5"/>
  <c r="CB56" i="5"/>
  <c r="CC56" i="5"/>
  <c r="CD56" i="5"/>
  <c r="CE56" i="5"/>
  <c r="CF56" i="5"/>
  <c r="CG56" i="5"/>
  <c r="CH56" i="5"/>
  <c r="CI56" i="5"/>
  <c r="CJ56" i="5"/>
  <c r="CK56" i="5"/>
  <c r="CL56" i="5"/>
  <c r="CM56" i="5"/>
  <c r="CN56" i="5"/>
  <c r="CO56" i="5"/>
  <c r="CP56" i="5"/>
  <c r="CQ56" i="5"/>
  <c r="CR56" i="5"/>
  <c r="CS56" i="5"/>
  <c r="CT56" i="5"/>
  <c r="CU56" i="5"/>
  <c r="CV56" i="5"/>
  <c r="CW56" i="5"/>
  <c r="CX56" i="5"/>
  <c r="CY56" i="5"/>
  <c r="CZ56" i="5"/>
  <c r="DA56" i="5"/>
  <c r="DB56" i="5"/>
  <c r="DC56" i="5"/>
  <c r="DD56" i="5"/>
  <c r="DE56" i="5"/>
  <c r="DF56" i="5"/>
  <c r="DG56" i="5"/>
  <c r="DH56" i="5"/>
  <c r="DI56" i="5"/>
  <c r="DJ56" i="5"/>
  <c r="DK56" i="5"/>
  <c r="DL56" i="5"/>
  <c r="DM56" i="5"/>
  <c r="DN56" i="5"/>
  <c r="DO56" i="5"/>
  <c r="DP56" i="5"/>
  <c r="DQ56" i="5"/>
  <c r="DR56" i="5"/>
  <c r="DS56" i="5"/>
  <c r="DT56" i="5"/>
  <c r="DU56" i="5"/>
  <c r="DV56" i="5"/>
  <c r="DW56" i="5"/>
  <c r="DX56" i="5"/>
  <c r="DY56" i="5"/>
  <c r="DZ56" i="5"/>
  <c r="EA56" i="5"/>
  <c r="EB56" i="5"/>
  <c r="EC56" i="5"/>
  <c r="ED56" i="5"/>
  <c r="EE56" i="5"/>
  <c r="EF56" i="5"/>
  <c r="EG56" i="5"/>
  <c r="EH56" i="5"/>
  <c r="EI56" i="5"/>
  <c r="EJ56" i="5"/>
  <c r="EK56" i="5"/>
  <c r="EL56" i="5"/>
  <c r="EM56" i="5"/>
  <c r="EN56" i="5"/>
  <c r="EO56" i="5"/>
  <c r="EP56" i="5"/>
  <c r="EQ56" i="5"/>
  <c r="ER56" i="5"/>
  <c r="ES56" i="5"/>
  <c r="ET56" i="5"/>
  <c r="EU56" i="5"/>
  <c r="EV56" i="5"/>
  <c r="EW56" i="5"/>
  <c r="EX56" i="5"/>
  <c r="EY56" i="5"/>
  <c r="EZ56" i="5"/>
  <c r="FA56" i="5"/>
  <c r="FB56" i="5"/>
  <c r="FC56" i="5"/>
  <c r="FD56" i="5"/>
  <c r="FE56" i="5"/>
  <c r="FF56" i="5"/>
  <c r="FG56" i="5"/>
  <c r="FH56" i="5"/>
  <c r="FI56" i="5"/>
  <c r="FJ56" i="5"/>
  <c r="FK56" i="5"/>
  <c r="FL56" i="5"/>
  <c r="FM56" i="5"/>
  <c r="FN56" i="5"/>
  <c r="FO56" i="5"/>
  <c r="FP56" i="5"/>
  <c r="FQ56" i="5"/>
  <c r="FR56" i="5"/>
  <c r="FS56" i="5"/>
  <c r="FT56" i="5"/>
  <c r="FU56" i="5"/>
  <c r="FV56" i="5"/>
  <c r="FW56" i="5"/>
  <c r="FX56" i="5"/>
  <c r="FY56" i="5"/>
  <c r="FZ56" i="5"/>
  <c r="GA56" i="5"/>
  <c r="GB56" i="5"/>
  <c r="GC56" i="5"/>
  <c r="GD56" i="5"/>
  <c r="GE56" i="5"/>
  <c r="GF56" i="5"/>
  <c r="GG56" i="5"/>
  <c r="GH56" i="5"/>
  <c r="GI56" i="5"/>
  <c r="GJ56" i="5"/>
  <c r="GK56" i="5"/>
  <c r="GL56" i="5"/>
  <c r="GM56" i="5"/>
  <c r="GN56" i="5"/>
  <c r="GO56" i="5"/>
  <c r="GP56" i="5"/>
  <c r="GQ56" i="5"/>
  <c r="GR56" i="5"/>
  <c r="GS56" i="5"/>
  <c r="GT56" i="5"/>
  <c r="GU56" i="5"/>
  <c r="GV56" i="5"/>
  <c r="GW56" i="5"/>
  <c r="GX56" i="5"/>
  <c r="GY56" i="5"/>
  <c r="GZ56" i="5"/>
  <c r="HA56" i="5"/>
  <c r="HB56" i="5"/>
  <c r="HC56" i="5"/>
  <c r="HD56" i="5"/>
  <c r="HE56" i="5"/>
  <c r="HF56" i="5"/>
  <c r="HG56" i="5"/>
  <c r="HH56" i="5"/>
  <c r="HI56" i="5"/>
  <c r="HJ56" i="5"/>
  <c r="HK56" i="5"/>
  <c r="HL56" i="5"/>
  <c r="HM56" i="5"/>
  <c r="HN56" i="5"/>
  <c r="HO56" i="5"/>
  <c r="HP56" i="5"/>
  <c r="HQ56" i="5"/>
  <c r="HR56" i="5"/>
  <c r="HS56" i="5"/>
  <c r="HT56" i="5"/>
  <c r="HU56" i="5"/>
  <c r="HV56" i="5"/>
  <c r="HW56" i="5"/>
  <c r="HX56" i="5"/>
  <c r="HY56" i="5"/>
  <c r="HZ56" i="5"/>
  <c r="IA56" i="5"/>
  <c r="IB56" i="5"/>
  <c r="IC56" i="5"/>
  <c r="ID56" i="5"/>
  <c r="IE56" i="5"/>
  <c r="IF56" i="5"/>
  <c r="IG56" i="5"/>
  <c r="IH56" i="5"/>
  <c r="II56" i="5"/>
  <c r="IJ56" i="5"/>
  <c r="IK56" i="5"/>
  <c r="IL56" i="5"/>
  <c r="IM56" i="5"/>
  <c r="IN56" i="5"/>
  <c r="IO56" i="5"/>
  <c r="IP56" i="5"/>
  <c r="IQ56" i="5"/>
  <c r="IR56" i="5"/>
  <c r="IS56" i="5"/>
  <c r="IT56" i="5"/>
  <c r="IU56" i="5"/>
  <c r="IV56" i="5"/>
  <c r="B55" i="5"/>
  <c r="C55" i="5"/>
  <c r="D55" i="5"/>
  <c r="B54" i="5"/>
  <c r="C54" i="5"/>
  <c r="D54" i="5"/>
  <c r="A53" i="5"/>
  <c r="B53" i="5"/>
  <c r="C53" i="5"/>
  <c r="D53" i="5"/>
  <c r="E53" i="5"/>
  <c r="F53" i="5"/>
  <c r="G53" i="5"/>
  <c r="H53" i="5"/>
  <c r="I53" i="5"/>
  <c r="J53" i="5"/>
  <c r="K53" i="5"/>
  <c r="L53" i="5"/>
  <c r="M53" i="5"/>
  <c r="N53" i="5"/>
  <c r="O53" i="5"/>
  <c r="P53" i="5"/>
  <c r="Q53" i="5"/>
  <c r="R53" i="5"/>
  <c r="S53" i="5"/>
  <c r="T53" i="5"/>
  <c r="U53" i="5"/>
  <c r="V53" i="5"/>
  <c r="X53" i="5"/>
  <c r="Y53" i="5"/>
  <c r="Z53" i="5"/>
  <c r="A52" i="5"/>
  <c r="B52" i="5"/>
  <c r="C52" i="5"/>
  <c r="D52" i="5"/>
  <c r="E52" i="5"/>
  <c r="F52" i="5"/>
  <c r="G52" i="5"/>
  <c r="H52" i="5"/>
  <c r="I52" i="5"/>
  <c r="J52" i="5"/>
  <c r="K52" i="5"/>
  <c r="M52" i="5"/>
  <c r="N52" i="5"/>
  <c r="O52" i="5"/>
  <c r="GF14" i="5"/>
  <c r="G11" i="5"/>
  <c r="GH14" i="5"/>
  <c r="A51" i="5"/>
  <c r="B51" i="5"/>
  <c r="C51" i="5"/>
  <c r="D51" i="5"/>
  <c r="E51" i="5"/>
  <c r="F51" i="5"/>
  <c r="G51" i="5"/>
  <c r="H51" i="5"/>
  <c r="I51" i="5"/>
  <c r="J51" i="5"/>
  <c r="L51" i="5"/>
  <c r="M51" i="5"/>
  <c r="B50" i="5"/>
  <c r="C50" i="5"/>
  <c r="B49" i="5"/>
  <c r="C49" i="5"/>
  <c r="D49" i="5"/>
  <c r="E49" i="5"/>
  <c r="A48" i="5"/>
  <c r="B48"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BN48" i="5"/>
  <c r="BO48" i="5"/>
  <c r="BP48" i="5"/>
  <c r="BQ48" i="5"/>
  <c r="BR48" i="5"/>
  <c r="BS48" i="5"/>
  <c r="BT48" i="5"/>
  <c r="BU48" i="5"/>
  <c r="BV48" i="5"/>
  <c r="BW48" i="5"/>
  <c r="BX48" i="5"/>
  <c r="BY48" i="5"/>
  <c r="BZ48" i="5"/>
  <c r="CA48" i="5"/>
  <c r="CB48" i="5"/>
  <c r="CC48" i="5"/>
  <c r="CD48" i="5"/>
  <c r="CE48" i="5"/>
  <c r="CF48" i="5"/>
  <c r="CG48" i="5"/>
  <c r="CH48" i="5"/>
  <c r="CI48" i="5"/>
  <c r="CJ48" i="5"/>
  <c r="CK48" i="5"/>
  <c r="CL48" i="5"/>
  <c r="CM48" i="5"/>
  <c r="CN48" i="5"/>
  <c r="CO48" i="5"/>
  <c r="CP48" i="5"/>
  <c r="CQ48" i="5"/>
  <c r="CR48" i="5"/>
  <c r="CS48" i="5"/>
  <c r="CT48" i="5"/>
  <c r="CU48" i="5"/>
  <c r="CV48" i="5"/>
  <c r="CW48" i="5"/>
  <c r="CX48" i="5"/>
  <c r="CY48" i="5"/>
  <c r="CZ48" i="5"/>
  <c r="DA48" i="5"/>
  <c r="DB48" i="5"/>
  <c r="DC48" i="5"/>
  <c r="DD48" i="5"/>
  <c r="DE48" i="5"/>
  <c r="DF48" i="5"/>
  <c r="DG48" i="5"/>
  <c r="DH48" i="5"/>
  <c r="DI48" i="5"/>
  <c r="DJ48" i="5"/>
  <c r="DK48" i="5"/>
  <c r="DL48" i="5"/>
  <c r="DM48" i="5"/>
  <c r="DN48" i="5"/>
  <c r="DO48" i="5"/>
  <c r="DP48" i="5"/>
  <c r="DQ48" i="5"/>
  <c r="DR48" i="5"/>
  <c r="DS48" i="5"/>
  <c r="DT48" i="5"/>
  <c r="DU48" i="5"/>
  <c r="DV48" i="5"/>
  <c r="DW48" i="5"/>
  <c r="DX48" i="5"/>
  <c r="DY48" i="5"/>
  <c r="DZ48" i="5"/>
  <c r="EA48" i="5"/>
  <c r="EB48" i="5"/>
  <c r="EC48" i="5"/>
  <c r="ED48" i="5"/>
  <c r="EE48" i="5"/>
  <c r="EF48" i="5"/>
  <c r="EG48" i="5"/>
  <c r="EH48" i="5"/>
  <c r="EI48" i="5"/>
  <c r="EJ48" i="5"/>
  <c r="EK48" i="5"/>
  <c r="EL48" i="5"/>
  <c r="EM48" i="5"/>
  <c r="EN48" i="5"/>
  <c r="EO48" i="5"/>
  <c r="EP48" i="5"/>
  <c r="EQ48" i="5"/>
  <c r="ER48" i="5"/>
  <c r="ES48" i="5"/>
  <c r="ET48" i="5"/>
  <c r="EU48" i="5"/>
  <c r="EV48" i="5"/>
  <c r="EW48" i="5"/>
  <c r="EX48" i="5"/>
  <c r="EY48" i="5"/>
  <c r="EZ48" i="5"/>
  <c r="FA48" i="5"/>
  <c r="FB48" i="5"/>
  <c r="FC48" i="5"/>
  <c r="FD48" i="5"/>
  <c r="FE48" i="5"/>
  <c r="FF48" i="5"/>
  <c r="FG48" i="5"/>
  <c r="FH48" i="5"/>
  <c r="FI48" i="5"/>
  <c r="FJ48" i="5"/>
  <c r="FK48" i="5"/>
  <c r="FL48" i="5"/>
  <c r="FM48" i="5"/>
  <c r="FN48" i="5"/>
  <c r="FO48" i="5"/>
  <c r="FP48" i="5"/>
  <c r="FQ48" i="5"/>
  <c r="FR48" i="5"/>
  <c r="FS48" i="5"/>
  <c r="FT48" i="5"/>
  <c r="FU48" i="5"/>
  <c r="FV48" i="5"/>
  <c r="FW48" i="5"/>
  <c r="FX48" i="5"/>
  <c r="FY48" i="5"/>
  <c r="FZ48" i="5"/>
  <c r="GA48" i="5"/>
  <c r="GB48" i="5"/>
  <c r="GC48" i="5"/>
  <c r="GD48" i="5"/>
  <c r="GE48" i="5"/>
  <c r="GF48" i="5"/>
  <c r="GG48" i="5"/>
  <c r="GH48" i="5"/>
  <c r="GI48" i="5"/>
  <c r="GJ48" i="5"/>
  <c r="GK48" i="5"/>
  <c r="GL48" i="5"/>
  <c r="GM48" i="5"/>
  <c r="GN48" i="5"/>
  <c r="GO48" i="5"/>
  <c r="GP48" i="5"/>
  <c r="GQ48" i="5"/>
  <c r="GR48" i="5"/>
  <c r="GS48" i="5"/>
  <c r="GT48" i="5"/>
  <c r="GU48" i="5"/>
  <c r="GV48" i="5"/>
  <c r="GW48" i="5"/>
  <c r="GX48" i="5"/>
  <c r="GY48" i="5"/>
  <c r="GZ48" i="5"/>
  <c r="HA48" i="5"/>
  <c r="HB48" i="5"/>
  <c r="HC48" i="5"/>
  <c r="HD48" i="5"/>
  <c r="HE48" i="5"/>
  <c r="HF48" i="5"/>
  <c r="HG48" i="5"/>
  <c r="HH48" i="5"/>
  <c r="HI48" i="5"/>
  <c r="HJ48" i="5"/>
  <c r="HK48" i="5"/>
  <c r="HL48" i="5"/>
  <c r="HM48" i="5"/>
  <c r="HN48" i="5"/>
  <c r="HO48" i="5"/>
  <c r="HP48" i="5"/>
  <c r="HQ48" i="5"/>
  <c r="HR48" i="5"/>
  <c r="HS48" i="5"/>
  <c r="HT48" i="5"/>
  <c r="HU48" i="5"/>
  <c r="HV48" i="5"/>
  <c r="HW48" i="5"/>
  <c r="HX48" i="5"/>
  <c r="HY48" i="5"/>
  <c r="HZ48" i="5"/>
  <c r="IA48" i="5"/>
  <c r="IB48" i="5"/>
  <c r="IC48" i="5"/>
  <c r="ID48" i="5"/>
  <c r="IE48" i="5"/>
  <c r="IF48" i="5"/>
  <c r="IG48" i="5"/>
  <c r="IH48" i="5"/>
  <c r="II48" i="5"/>
  <c r="IJ48" i="5"/>
  <c r="IK48" i="5"/>
  <c r="IM48" i="5"/>
  <c r="IN48" i="5"/>
  <c r="IO48" i="5"/>
  <c r="IP48" i="5"/>
  <c r="A47" i="5"/>
  <c r="B47"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BN47" i="5"/>
  <c r="BO47" i="5"/>
  <c r="BP47" i="5"/>
  <c r="BQ47" i="5"/>
  <c r="BR47" i="5"/>
  <c r="BS47" i="5"/>
  <c r="BT47" i="5"/>
  <c r="BU47" i="5"/>
  <c r="BV47" i="5"/>
  <c r="BW47" i="5"/>
  <c r="BX47" i="5"/>
  <c r="BY47" i="5"/>
  <c r="BZ47" i="5"/>
  <c r="CA47" i="5"/>
  <c r="CB47" i="5"/>
  <c r="CC47" i="5"/>
  <c r="CD47" i="5"/>
  <c r="CE47" i="5"/>
  <c r="CF47" i="5"/>
  <c r="CG47" i="5"/>
  <c r="CH47" i="5"/>
  <c r="CI47" i="5"/>
  <c r="CJ47" i="5"/>
  <c r="CK47" i="5"/>
  <c r="CL47" i="5"/>
  <c r="CM47" i="5"/>
  <c r="CN47" i="5"/>
  <c r="CO47" i="5"/>
  <c r="CP47" i="5"/>
  <c r="CQ47" i="5"/>
  <c r="CR47" i="5"/>
  <c r="CS47" i="5"/>
  <c r="CT47" i="5"/>
  <c r="CU47" i="5"/>
  <c r="CV47" i="5"/>
  <c r="CW47" i="5"/>
  <c r="CX47" i="5"/>
  <c r="CY47" i="5"/>
  <c r="CZ47" i="5"/>
  <c r="DA47" i="5"/>
  <c r="DB47" i="5"/>
  <c r="DC47" i="5"/>
  <c r="DD47" i="5"/>
  <c r="DE47" i="5"/>
  <c r="DF47" i="5"/>
  <c r="DG47" i="5"/>
  <c r="DH47" i="5"/>
  <c r="DI47" i="5"/>
  <c r="DJ47" i="5"/>
  <c r="DK47" i="5"/>
  <c r="DL47" i="5"/>
  <c r="DM47" i="5"/>
  <c r="DN47" i="5"/>
  <c r="DO47" i="5"/>
  <c r="DP47" i="5"/>
  <c r="DQ47" i="5"/>
  <c r="DR47" i="5"/>
  <c r="DS47" i="5"/>
  <c r="DT47" i="5"/>
  <c r="DU47" i="5"/>
  <c r="DV47" i="5"/>
  <c r="DW47" i="5"/>
  <c r="DX47" i="5"/>
  <c r="DY47" i="5"/>
  <c r="DZ47" i="5"/>
  <c r="EA47" i="5"/>
  <c r="EB47" i="5"/>
  <c r="EC47" i="5"/>
  <c r="ED47" i="5"/>
  <c r="EE47" i="5"/>
  <c r="EF47" i="5"/>
  <c r="EG47" i="5"/>
  <c r="EH47" i="5"/>
  <c r="EI47" i="5"/>
  <c r="EJ47" i="5"/>
  <c r="EK47" i="5"/>
  <c r="EL47" i="5"/>
  <c r="EM47" i="5"/>
  <c r="EN47" i="5"/>
  <c r="EO47" i="5"/>
  <c r="EP47" i="5"/>
  <c r="EQ47" i="5"/>
  <c r="ER47" i="5"/>
  <c r="ES47" i="5"/>
  <c r="ET47" i="5"/>
  <c r="EU47" i="5"/>
  <c r="EV47" i="5"/>
  <c r="EW47" i="5"/>
  <c r="EX47" i="5"/>
  <c r="EY47" i="5"/>
  <c r="EZ47" i="5"/>
  <c r="FA47" i="5"/>
  <c r="FB47" i="5"/>
  <c r="FC47" i="5"/>
  <c r="FD47" i="5"/>
  <c r="FE47" i="5"/>
  <c r="FF47" i="5"/>
  <c r="FG47" i="5"/>
  <c r="FH47" i="5"/>
  <c r="FI47" i="5"/>
  <c r="FJ47" i="5"/>
  <c r="FK47" i="5"/>
  <c r="FL47" i="5"/>
  <c r="FM47" i="5"/>
  <c r="FN47" i="5"/>
  <c r="FO47" i="5"/>
  <c r="FP47" i="5"/>
  <c r="FQ47" i="5"/>
  <c r="FR47" i="5"/>
  <c r="FS47" i="5"/>
  <c r="FT47" i="5"/>
  <c r="FU47" i="5"/>
  <c r="FV47" i="5"/>
  <c r="FW47" i="5"/>
  <c r="FX47" i="5"/>
  <c r="FY47" i="5"/>
  <c r="FZ47" i="5"/>
  <c r="GA47" i="5"/>
  <c r="GB47" i="5"/>
  <c r="GC47" i="5"/>
  <c r="GD47" i="5"/>
  <c r="GE47" i="5"/>
  <c r="GF47" i="5"/>
  <c r="GG47" i="5"/>
  <c r="GH47" i="5"/>
  <c r="GI47" i="5"/>
  <c r="GJ47" i="5"/>
  <c r="GK47" i="5"/>
  <c r="GL47" i="5"/>
  <c r="GM47" i="5"/>
  <c r="GN47" i="5"/>
  <c r="GO47" i="5"/>
  <c r="GP47" i="5"/>
  <c r="GQ47" i="5"/>
  <c r="GR47" i="5"/>
  <c r="GS47" i="5"/>
  <c r="GT47" i="5"/>
  <c r="GU47" i="5"/>
  <c r="GV47" i="5"/>
  <c r="GW47" i="5"/>
  <c r="GX47" i="5"/>
  <c r="GY47" i="5"/>
  <c r="GZ47" i="5"/>
  <c r="HA47" i="5"/>
  <c r="HB47" i="5"/>
  <c r="HC47" i="5"/>
  <c r="HD47" i="5"/>
  <c r="HE47" i="5"/>
  <c r="HF47" i="5"/>
  <c r="HG47" i="5"/>
  <c r="HH47" i="5"/>
  <c r="HI47" i="5"/>
  <c r="HJ47" i="5"/>
  <c r="HK47" i="5"/>
  <c r="HL47" i="5"/>
  <c r="HM47" i="5"/>
  <c r="HN47" i="5"/>
  <c r="HO47" i="5"/>
  <c r="HP47" i="5"/>
  <c r="HQ47" i="5"/>
  <c r="HR47" i="5"/>
  <c r="HS47" i="5"/>
  <c r="HT47" i="5"/>
  <c r="HU47" i="5"/>
  <c r="HV47" i="5"/>
  <c r="HW47" i="5"/>
  <c r="HX47" i="5"/>
  <c r="HY47" i="5"/>
  <c r="HZ47" i="5"/>
  <c r="IA47" i="5"/>
  <c r="IB47" i="5"/>
  <c r="IC47" i="5"/>
  <c r="ID47" i="5"/>
  <c r="IE47" i="5"/>
  <c r="IF47" i="5"/>
  <c r="IG47" i="5"/>
  <c r="IH47" i="5"/>
  <c r="II47" i="5"/>
  <c r="IJ47" i="5"/>
  <c r="IK47" i="5"/>
  <c r="IL47" i="5"/>
  <c r="IM47" i="5"/>
  <c r="IN47" i="5"/>
  <c r="IO47" i="5"/>
  <c r="IP47" i="5"/>
  <c r="IQ47" i="5"/>
  <c r="IR47" i="5"/>
  <c r="IS47" i="5"/>
  <c r="IT47" i="5"/>
  <c r="IU47" i="5"/>
  <c r="IV47" i="5"/>
  <c r="A46" i="5"/>
  <c r="B46"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BN46" i="5"/>
  <c r="BO46" i="5"/>
  <c r="BP46" i="5"/>
  <c r="BQ46" i="5"/>
  <c r="BR46" i="5"/>
  <c r="BS46" i="5"/>
  <c r="BT46" i="5"/>
  <c r="BU46" i="5"/>
  <c r="BV46" i="5"/>
  <c r="BW46" i="5"/>
  <c r="BX46" i="5"/>
  <c r="BY46" i="5"/>
  <c r="BZ46" i="5"/>
  <c r="CA46" i="5"/>
  <c r="CB46" i="5"/>
  <c r="CC46" i="5"/>
  <c r="CD46" i="5"/>
  <c r="CE46" i="5"/>
  <c r="CF46" i="5"/>
  <c r="CG46" i="5"/>
  <c r="CH46" i="5"/>
  <c r="CI46" i="5"/>
  <c r="CJ46" i="5"/>
  <c r="CK46" i="5"/>
  <c r="CL46" i="5"/>
  <c r="CM46" i="5"/>
  <c r="CN46" i="5"/>
  <c r="CO46" i="5"/>
  <c r="CP46" i="5"/>
  <c r="CQ46" i="5"/>
  <c r="CR46" i="5"/>
  <c r="CS46" i="5"/>
  <c r="CT46" i="5"/>
  <c r="CU46" i="5"/>
  <c r="CV46" i="5"/>
  <c r="CW46" i="5"/>
  <c r="CX46" i="5"/>
  <c r="CY46" i="5"/>
  <c r="CZ46" i="5"/>
  <c r="DA46" i="5"/>
  <c r="DB46" i="5"/>
  <c r="DC46" i="5"/>
  <c r="DD46" i="5"/>
  <c r="DE46" i="5"/>
  <c r="DF46" i="5"/>
  <c r="DG46" i="5"/>
  <c r="DH46" i="5"/>
  <c r="DI46" i="5"/>
  <c r="DJ46" i="5"/>
  <c r="DK46" i="5"/>
  <c r="DL46" i="5"/>
  <c r="DM46" i="5"/>
  <c r="DN46" i="5"/>
  <c r="DO46" i="5"/>
  <c r="DP46" i="5"/>
  <c r="DQ46" i="5"/>
  <c r="DR46" i="5"/>
  <c r="DS46" i="5"/>
  <c r="DT46" i="5"/>
  <c r="DU46" i="5"/>
  <c r="DV46" i="5"/>
  <c r="DW46" i="5"/>
  <c r="DX46" i="5"/>
  <c r="DY46" i="5"/>
  <c r="DZ46" i="5"/>
  <c r="EA46" i="5"/>
  <c r="EB46" i="5"/>
  <c r="EC46" i="5"/>
  <c r="ED46" i="5"/>
  <c r="EE46" i="5"/>
  <c r="EF46" i="5"/>
  <c r="EG46" i="5"/>
  <c r="EH46" i="5"/>
  <c r="EI46" i="5"/>
  <c r="EJ46" i="5"/>
  <c r="EK46" i="5"/>
  <c r="EL46" i="5"/>
  <c r="EM46" i="5"/>
  <c r="EN46" i="5"/>
  <c r="EO46" i="5"/>
  <c r="EP46" i="5"/>
  <c r="EQ46" i="5"/>
  <c r="ER46" i="5"/>
  <c r="ES46" i="5"/>
  <c r="ET46" i="5"/>
  <c r="EU46" i="5"/>
  <c r="EV46" i="5"/>
  <c r="EW46" i="5"/>
  <c r="EX46" i="5"/>
  <c r="EY46" i="5"/>
  <c r="EZ46" i="5"/>
  <c r="FA46" i="5"/>
  <c r="FB46" i="5"/>
  <c r="FC46" i="5"/>
  <c r="FD46" i="5"/>
  <c r="FE46" i="5"/>
  <c r="FF46" i="5"/>
  <c r="FG46" i="5"/>
  <c r="FH46" i="5"/>
  <c r="FI46" i="5"/>
  <c r="FJ46" i="5"/>
  <c r="FK46" i="5"/>
  <c r="FL46" i="5"/>
  <c r="FM46" i="5"/>
  <c r="FN46" i="5"/>
  <c r="FO46" i="5"/>
  <c r="FP46" i="5"/>
  <c r="FQ46" i="5"/>
  <c r="FR46" i="5"/>
  <c r="FS46" i="5"/>
  <c r="FT46" i="5"/>
  <c r="FU46" i="5"/>
  <c r="FV46" i="5"/>
  <c r="FW46" i="5"/>
  <c r="FX46" i="5"/>
  <c r="FY46" i="5"/>
  <c r="FZ46" i="5"/>
  <c r="GA46" i="5"/>
  <c r="GB46" i="5"/>
  <c r="GC46" i="5"/>
  <c r="GD46" i="5"/>
  <c r="GE46" i="5"/>
  <c r="GF46" i="5"/>
  <c r="GG46" i="5"/>
  <c r="GH46" i="5"/>
  <c r="GI46" i="5"/>
  <c r="GJ46" i="5"/>
  <c r="GK46" i="5"/>
  <c r="GL46" i="5"/>
  <c r="GM46" i="5"/>
  <c r="GN46" i="5"/>
  <c r="GO46" i="5"/>
  <c r="GP46" i="5"/>
  <c r="GQ46" i="5"/>
  <c r="GR46" i="5"/>
  <c r="GS46" i="5"/>
  <c r="GT46" i="5"/>
  <c r="GU46" i="5"/>
  <c r="GV46" i="5"/>
  <c r="GW46" i="5"/>
  <c r="GX46" i="5"/>
  <c r="GY46" i="5"/>
  <c r="GZ46" i="5"/>
  <c r="HA46" i="5"/>
  <c r="HB46" i="5"/>
  <c r="HC46" i="5"/>
  <c r="HD46" i="5"/>
  <c r="HE46" i="5"/>
  <c r="HF46" i="5"/>
  <c r="HG46" i="5"/>
  <c r="HH46" i="5"/>
  <c r="HI46" i="5"/>
  <c r="HJ46" i="5"/>
  <c r="HK46" i="5"/>
  <c r="HL46" i="5"/>
  <c r="HM46" i="5"/>
  <c r="HN46" i="5"/>
  <c r="HO46" i="5"/>
  <c r="HP46" i="5"/>
  <c r="HQ46" i="5"/>
  <c r="HR46" i="5"/>
  <c r="HS46" i="5"/>
  <c r="HT46" i="5"/>
  <c r="HU46" i="5"/>
  <c r="HV46" i="5"/>
  <c r="HW46" i="5"/>
  <c r="HX46" i="5"/>
  <c r="HY46" i="5"/>
  <c r="HZ46" i="5"/>
  <c r="IA46" i="5"/>
  <c r="IB46" i="5"/>
  <c r="IC46" i="5"/>
  <c r="ID46" i="5"/>
  <c r="IE46" i="5"/>
  <c r="IF46" i="5"/>
  <c r="IG46" i="5"/>
  <c r="IH46" i="5"/>
  <c r="II46" i="5"/>
  <c r="IJ46" i="5"/>
  <c r="IK46" i="5"/>
  <c r="IL46" i="5"/>
  <c r="IM46" i="5"/>
  <c r="IN46" i="5"/>
  <c r="IO46" i="5"/>
  <c r="IP46" i="5"/>
  <c r="IQ46" i="5"/>
  <c r="IR46" i="5"/>
  <c r="IS46" i="5"/>
  <c r="IT46" i="5"/>
  <c r="IU46" i="5"/>
  <c r="IV46" i="5"/>
  <c r="A45"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AN45"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BN45" i="5"/>
  <c r="BO45" i="5"/>
  <c r="BP45" i="5"/>
  <c r="BQ45" i="5"/>
  <c r="BR45" i="5"/>
  <c r="BS45" i="5"/>
  <c r="BT45" i="5"/>
  <c r="BU45" i="5"/>
  <c r="BV45" i="5"/>
  <c r="BW45" i="5"/>
  <c r="BX45" i="5"/>
  <c r="BY45" i="5"/>
  <c r="BZ45" i="5"/>
  <c r="CA45" i="5"/>
  <c r="CB45" i="5"/>
  <c r="CC45" i="5"/>
  <c r="CD45" i="5"/>
  <c r="CE45" i="5"/>
  <c r="CF45" i="5"/>
  <c r="CG45" i="5"/>
  <c r="CH45" i="5"/>
  <c r="CI45" i="5"/>
  <c r="CJ45" i="5"/>
  <c r="CK45" i="5"/>
  <c r="CL45" i="5"/>
  <c r="CM45" i="5"/>
  <c r="CN45" i="5"/>
  <c r="CO45" i="5"/>
  <c r="CP45" i="5"/>
  <c r="CQ45" i="5"/>
  <c r="CR45" i="5"/>
  <c r="CS45" i="5"/>
  <c r="CT45" i="5"/>
  <c r="CU45" i="5"/>
  <c r="CV45" i="5"/>
  <c r="CW45" i="5"/>
  <c r="CX45" i="5"/>
  <c r="CY45" i="5"/>
  <c r="CZ45" i="5"/>
  <c r="DA45" i="5"/>
  <c r="DB45" i="5"/>
  <c r="DC45" i="5"/>
  <c r="DD45" i="5"/>
  <c r="DE45" i="5"/>
  <c r="DF45" i="5"/>
  <c r="DG45" i="5"/>
  <c r="DH45" i="5"/>
  <c r="DI45" i="5"/>
  <c r="DJ45" i="5"/>
  <c r="DK45" i="5"/>
  <c r="DL45" i="5"/>
  <c r="DM45" i="5"/>
  <c r="DN45" i="5"/>
  <c r="DO45" i="5"/>
  <c r="DP45" i="5"/>
  <c r="DQ45" i="5"/>
  <c r="DR45" i="5"/>
  <c r="DS45" i="5"/>
  <c r="DT45" i="5"/>
  <c r="DU45" i="5"/>
  <c r="DV45" i="5"/>
  <c r="DW45" i="5"/>
  <c r="DX45" i="5"/>
  <c r="DY45" i="5"/>
  <c r="DZ45" i="5"/>
  <c r="EA45" i="5"/>
  <c r="EB45" i="5"/>
  <c r="EC45" i="5"/>
  <c r="ED45" i="5"/>
  <c r="EE45" i="5"/>
  <c r="EF45" i="5"/>
  <c r="EG45" i="5"/>
  <c r="EH45" i="5"/>
  <c r="EI45" i="5"/>
  <c r="EJ45" i="5"/>
  <c r="EK45" i="5"/>
  <c r="EL45" i="5"/>
  <c r="EM45" i="5"/>
  <c r="EN45" i="5"/>
  <c r="EO45" i="5"/>
  <c r="EP45" i="5"/>
  <c r="EQ45" i="5"/>
  <c r="ER45" i="5"/>
  <c r="ES45" i="5"/>
  <c r="ET45" i="5"/>
  <c r="EU45" i="5"/>
  <c r="EV45" i="5"/>
  <c r="EW45" i="5"/>
  <c r="EX45" i="5"/>
  <c r="EY45" i="5"/>
  <c r="EZ45" i="5"/>
  <c r="FA45" i="5"/>
  <c r="FB45" i="5"/>
  <c r="FC45" i="5"/>
  <c r="FD45" i="5"/>
  <c r="FE45" i="5"/>
  <c r="FF45" i="5"/>
  <c r="FG45" i="5"/>
  <c r="FH45" i="5"/>
  <c r="FI45" i="5"/>
  <c r="FJ45" i="5"/>
  <c r="FK45" i="5"/>
  <c r="FL45" i="5"/>
  <c r="FM45" i="5"/>
  <c r="FN45" i="5"/>
  <c r="FO45" i="5"/>
  <c r="FP45" i="5"/>
  <c r="FQ45" i="5"/>
  <c r="FR45" i="5"/>
  <c r="FS45" i="5"/>
  <c r="FT45" i="5"/>
  <c r="FU45" i="5"/>
  <c r="FV45" i="5"/>
  <c r="FW45" i="5"/>
  <c r="FX45" i="5"/>
  <c r="FY45" i="5"/>
  <c r="FZ45" i="5"/>
  <c r="GA45" i="5"/>
  <c r="GB45" i="5"/>
  <c r="GC45" i="5"/>
  <c r="GD45" i="5"/>
  <c r="GE45" i="5"/>
  <c r="GF45" i="5"/>
  <c r="GG45" i="5"/>
  <c r="GH45" i="5"/>
  <c r="GI45" i="5"/>
  <c r="GJ45" i="5"/>
  <c r="GK45" i="5"/>
  <c r="GL45" i="5"/>
  <c r="GM45" i="5"/>
  <c r="GN45" i="5"/>
  <c r="GO45" i="5"/>
  <c r="GP45" i="5"/>
  <c r="GQ45" i="5"/>
  <c r="GR45" i="5"/>
  <c r="GS45" i="5"/>
  <c r="GT45" i="5"/>
  <c r="GU45" i="5"/>
  <c r="GV45" i="5"/>
  <c r="GW45" i="5"/>
  <c r="GX45" i="5"/>
  <c r="GY45" i="5"/>
  <c r="GZ45" i="5"/>
  <c r="HA45" i="5"/>
  <c r="HB45" i="5"/>
  <c r="HC45" i="5"/>
  <c r="HD45" i="5"/>
  <c r="HE45" i="5"/>
  <c r="HF45" i="5"/>
  <c r="HG45" i="5"/>
  <c r="HH45" i="5"/>
  <c r="HI45" i="5"/>
  <c r="HJ45" i="5"/>
  <c r="HK45" i="5"/>
  <c r="HL45" i="5"/>
  <c r="HM45" i="5"/>
  <c r="HN45" i="5"/>
  <c r="HO45" i="5"/>
  <c r="HP45" i="5"/>
  <c r="HQ45" i="5"/>
  <c r="HR45" i="5"/>
  <c r="HS45" i="5"/>
  <c r="HT45" i="5"/>
  <c r="HU45" i="5"/>
  <c r="HV45" i="5"/>
  <c r="HW45" i="5"/>
  <c r="HX45" i="5"/>
  <c r="HY45" i="5"/>
  <c r="HZ45" i="5"/>
  <c r="IA45" i="5"/>
  <c r="IB45" i="5"/>
  <c r="IC45" i="5"/>
  <c r="ID45" i="5"/>
  <c r="IE45" i="5"/>
  <c r="IF45" i="5"/>
  <c r="IG45" i="5"/>
  <c r="IH45" i="5"/>
  <c r="II45" i="5"/>
  <c r="IJ45" i="5"/>
  <c r="IK45" i="5"/>
  <c r="IL45" i="5"/>
  <c r="IM45" i="5"/>
  <c r="IN45" i="5"/>
  <c r="IO45" i="5"/>
  <c r="IP45" i="5"/>
  <c r="IQ45" i="5"/>
  <c r="IR45" i="5"/>
  <c r="IS45" i="5"/>
  <c r="IT45" i="5"/>
  <c r="IU45" i="5"/>
  <c r="IV45" i="5"/>
  <c r="A44" i="5"/>
  <c r="B44"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BN44" i="5"/>
  <c r="BO44" i="5"/>
  <c r="BP44" i="5"/>
  <c r="BQ44" i="5"/>
  <c r="BR44" i="5"/>
  <c r="BS44" i="5"/>
  <c r="BT44" i="5"/>
  <c r="BU44" i="5"/>
  <c r="BV44" i="5"/>
  <c r="BW44" i="5"/>
  <c r="BX44" i="5"/>
  <c r="BY44" i="5"/>
  <c r="BZ44" i="5"/>
  <c r="CA44" i="5"/>
  <c r="CB44" i="5"/>
  <c r="CC44" i="5"/>
  <c r="CD44" i="5"/>
  <c r="CE44" i="5"/>
  <c r="CF44" i="5"/>
  <c r="CG44" i="5"/>
  <c r="CH44" i="5"/>
  <c r="CI44" i="5"/>
  <c r="CJ44" i="5"/>
  <c r="CK44" i="5"/>
  <c r="CL44" i="5"/>
  <c r="CM44" i="5"/>
  <c r="CN44" i="5"/>
  <c r="CO44" i="5"/>
  <c r="CP44" i="5"/>
  <c r="CQ44" i="5"/>
  <c r="CR44" i="5"/>
  <c r="CS44" i="5"/>
  <c r="CT44" i="5"/>
  <c r="CU44" i="5"/>
  <c r="CV44" i="5"/>
  <c r="CW44" i="5"/>
  <c r="CX44" i="5"/>
  <c r="CY44" i="5"/>
  <c r="CZ44" i="5"/>
  <c r="DA44" i="5"/>
  <c r="DB44" i="5"/>
  <c r="DC44" i="5"/>
  <c r="DD44" i="5"/>
  <c r="DE44" i="5"/>
  <c r="DF44" i="5"/>
  <c r="DG44" i="5"/>
  <c r="DH44" i="5"/>
  <c r="DI44" i="5"/>
  <c r="DJ44" i="5"/>
  <c r="DK44" i="5"/>
  <c r="DL44" i="5"/>
  <c r="DM44" i="5"/>
  <c r="DN44" i="5"/>
  <c r="DO44" i="5"/>
  <c r="DP44" i="5"/>
  <c r="DQ44" i="5"/>
  <c r="DR44" i="5"/>
  <c r="DS44" i="5"/>
  <c r="DT44" i="5"/>
  <c r="DU44" i="5"/>
  <c r="DV44" i="5"/>
  <c r="DW44" i="5"/>
  <c r="DX44" i="5"/>
  <c r="DY44" i="5"/>
  <c r="DZ44" i="5"/>
  <c r="EA44" i="5"/>
  <c r="EB44" i="5"/>
  <c r="EC44" i="5"/>
  <c r="ED44" i="5"/>
  <c r="EE44" i="5"/>
  <c r="EF44" i="5"/>
  <c r="EG44" i="5"/>
  <c r="EH44" i="5"/>
  <c r="EI44" i="5"/>
  <c r="EJ44" i="5"/>
  <c r="EK44" i="5"/>
  <c r="EL44" i="5"/>
  <c r="EM44" i="5"/>
  <c r="EN44" i="5"/>
  <c r="EO44" i="5"/>
  <c r="EP44" i="5"/>
  <c r="EQ44" i="5"/>
  <c r="ER44" i="5"/>
  <c r="ES44" i="5"/>
  <c r="ET44" i="5"/>
  <c r="EU44" i="5"/>
  <c r="EV44" i="5"/>
  <c r="EW44" i="5"/>
  <c r="EX44" i="5"/>
  <c r="EY44" i="5"/>
  <c r="EZ44" i="5"/>
  <c r="FA44" i="5"/>
  <c r="FB44" i="5"/>
  <c r="FC44" i="5"/>
  <c r="FD44" i="5"/>
  <c r="FE44" i="5"/>
  <c r="FF44" i="5"/>
  <c r="FG44" i="5"/>
  <c r="FH44" i="5"/>
  <c r="FI44" i="5"/>
  <c r="FJ44" i="5"/>
  <c r="FK44" i="5"/>
  <c r="FL44" i="5"/>
  <c r="FM44" i="5"/>
  <c r="FN44" i="5"/>
  <c r="FO44" i="5"/>
  <c r="FP44" i="5"/>
  <c r="FQ44" i="5"/>
  <c r="FR44" i="5"/>
  <c r="FS44" i="5"/>
  <c r="FT44" i="5"/>
  <c r="FU44" i="5"/>
  <c r="FV44" i="5"/>
  <c r="FW44" i="5"/>
  <c r="FX44" i="5"/>
  <c r="FY44" i="5"/>
  <c r="FZ44" i="5"/>
  <c r="GA44" i="5"/>
  <c r="GB44" i="5"/>
  <c r="GC44" i="5"/>
  <c r="GD44" i="5"/>
  <c r="GE44" i="5"/>
  <c r="GF44" i="5"/>
  <c r="GG44" i="5"/>
  <c r="GH44" i="5"/>
  <c r="GI44" i="5"/>
  <c r="GJ44" i="5"/>
  <c r="GK44" i="5"/>
  <c r="GL44" i="5"/>
  <c r="GM44" i="5"/>
  <c r="GN44" i="5"/>
  <c r="GO44" i="5"/>
  <c r="GP44" i="5"/>
  <c r="GQ44" i="5"/>
  <c r="GR44" i="5"/>
  <c r="GS44" i="5"/>
  <c r="GT44" i="5"/>
  <c r="GU44" i="5"/>
  <c r="GV44" i="5"/>
  <c r="GW44" i="5"/>
  <c r="GX44" i="5"/>
  <c r="GY44" i="5"/>
  <c r="GZ44" i="5"/>
  <c r="HA44" i="5"/>
  <c r="HB44" i="5"/>
  <c r="HC44" i="5"/>
  <c r="HD44" i="5"/>
  <c r="HE44" i="5"/>
  <c r="HF44" i="5"/>
  <c r="HG44" i="5"/>
  <c r="HH44" i="5"/>
  <c r="HI44" i="5"/>
  <c r="HJ44" i="5"/>
  <c r="HK44" i="5"/>
  <c r="HL44" i="5"/>
  <c r="HM44" i="5"/>
  <c r="HN44" i="5"/>
  <c r="HO44" i="5"/>
  <c r="HP44" i="5"/>
  <c r="HQ44" i="5"/>
  <c r="HR44" i="5"/>
  <c r="HS44" i="5"/>
  <c r="HT44" i="5"/>
  <c r="HU44" i="5"/>
  <c r="HV44" i="5"/>
  <c r="HW44" i="5"/>
  <c r="HX44" i="5"/>
  <c r="HY44" i="5"/>
  <c r="HZ44" i="5"/>
  <c r="IA44" i="5"/>
  <c r="IB44" i="5"/>
  <c r="IC44" i="5"/>
  <c r="ID44" i="5"/>
  <c r="IE44" i="5"/>
  <c r="IF44" i="5"/>
  <c r="IG44" i="5"/>
  <c r="IH44" i="5"/>
  <c r="II44" i="5"/>
  <c r="IJ44" i="5"/>
  <c r="IK44" i="5"/>
  <c r="IL44" i="5"/>
  <c r="IM44" i="5"/>
  <c r="IN44" i="5"/>
  <c r="IO44" i="5"/>
  <c r="IP44" i="5"/>
  <c r="IQ44" i="5"/>
  <c r="IR44" i="5"/>
  <c r="IS44" i="5"/>
  <c r="IT44" i="5"/>
  <c r="IU44" i="5"/>
  <c r="IV44" i="5"/>
  <c r="A43" i="5"/>
  <c r="B43"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BN43" i="5"/>
  <c r="BO43" i="5"/>
  <c r="BP43" i="5"/>
  <c r="BQ43" i="5"/>
  <c r="BR43" i="5"/>
  <c r="BS43" i="5"/>
  <c r="BT43" i="5"/>
  <c r="BU43" i="5"/>
  <c r="BV43" i="5"/>
  <c r="BW43" i="5"/>
  <c r="BX43" i="5"/>
  <c r="BY43" i="5"/>
  <c r="BZ43" i="5"/>
  <c r="CA43" i="5"/>
  <c r="CB43" i="5"/>
  <c r="CC43" i="5"/>
  <c r="CD43" i="5"/>
  <c r="CE43" i="5"/>
  <c r="CF43" i="5"/>
  <c r="CG43" i="5"/>
  <c r="CH43" i="5"/>
  <c r="CI43" i="5"/>
  <c r="CJ43" i="5"/>
  <c r="CK43" i="5"/>
  <c r="CL43" i="5"/>
  <c r="CM43" i="5"/>
  <c r="CN43" i="5"/>
  <c r="CO43" i="5"/>
  <c r="CP43" i="5"/>
  <c r="CQ43" i="5"/>
  <c r="CR43" i="5"/>
  <c r="CS43" i="5"/>
  <c r="CT43" i="5"/>
  <c r="CU43" i="5"/>
  <c r="CV43" i="5"/>
  <c r="CW43" i="5"/>
  <c r="CX43" i="5"/>
  <c r="CY43" i="5"/>
  <c r="CZ43" i="5"/>
  <c r="DA43" i="5"/>
  <c r="DB43" i="5"/>
  <c r="DC43" i="5"/>
  <c r="DD43" i="5"/>
  <c r="DE43" i="5"/>
  <c r="DF43" i="5"/>
  <c r="DG43" i="5"/>
  <c r="DH43" i="5"/>
  <c r="DI43" i="5"/>
  <c r="DJ43" i="5"/>
  <c r="DK43" i="5"/>
  <c r="DL43" i="5"/>
  <c r="DM43" i="5"/>
  <c r="DN43" i="5"/>
  <c r="DO43" i="5"/>
  <c r="DP43" i="5"/>
  <c r="DQ43" i="5"/>
  <c r="DR43" i="5"/>
  <c r="DS43" i="5"/>
  <c r="DT43" i="5"/>
  <c r="DU43" i="5"/>
  <c r="DV43" i="5"/>
  <c r="DW43" i="5"/>
  <c r="DX43" i="5"/>
  <c r="DY43" i="5"/>
  <c r="DZ43" i="5"/>
  <c r="EA43" i="5"/>
  <c r="EB43" i="5"/>
  <c r="EC43" i="5"/>
  <c r="ED43" i="5"/>
  <c r="EE43" i="5"/>
  <c r="EF43" i="5"/>
  <c r="EG43" i="5"/>
  <c r="EH43" i="5"/>
  <c r="EI43" i="5"/>
  <c r="EJ43" i="5"/>
  <c r="EK43" i="5"/>
  <c r="EL43" i="5"/>
  <c r="EM43" i="5"/>
  <c r="EN43" i="5"/>
  <c r="EO43" i="5"/>
  <c r="EP43" i="5"/>
  <c r="EQ43" i="5"/>
  <c r="ER43" i="5"/>
  <c r="ES43" i="5"/>
  <c r="ET43" i="5"/>
  <c r="EU43" i="5"/>
  <c r="EV43" i="5"/>
  <c r="EW43" i="5"/>
  <c r="EX43" i="5"/>
  <c r="EY43" i="5"/>
  <c r="EZ43" i="5"/>
  <c r="FA43" i="5"/>
  <c r="FB43" i="5"/>
  <c r="FC43" i="5"/>
  <c r="FD43" i="5"/>
  <c r="FE43" i="5"/>
  <c r="FF43" i="5"/>
  <c r="FG43" i="5"/>
  <c r="FH43" i="5"/>
  <c r="FI43" i="5"/>
  <c r="FJ43" i="5"/>
  <c r="FK43" i="5"/>
  <c r="FL43" i="5"/>
  <c r="FM43" i="5"/>
  <c r="FN43" i="5"/>
  <c r="FO43" i="5"/>
  <c r="FP43" i="5"/>
  <c r="FQ43" i="5"/>
  <c r="FR43" i="5"/>
  <c r="FS43" i="5"/>
  <c r="FT43" i="5"/>
  <c r="FU43" i="5"/>
  <c r="FV43" i="5"/>
  <c r="FW43" i="5"/>
  <c r="FX43" i="5"/>
  <c r="FY43" i="5"/>
  <c r="FZ43" i="5"/>
  <c r="GA43" i="5"/>
  <c r="GB43" i="5"/>
  <c r="GC43" i="5"/>
  <c r="GD43" i="5"/>
  <c r="GE43" i="5"/>
  <c r="GF43" i="5"/>
  <c r="GG43" i="5"/>
  <c r="GH43" i="5"/>
  <c r="GI43" i="5"/>
  <c r="GJ43" i="5"/>
  <c r="GK43" i="5"/>
  <c r="GL43" i="5"/>
  <c r="GM43" i="5"/>
  <c r="GN43" i="5"/>
  <c r="GO43" i="5"/>
  <c r="GP43" i="5"/>
  <c r="GQ43" i="5"/>
  <c r="GR43" i="5"/>
  <c r="GS43" i="5"/>
  <c r="GT43" i="5"/>
  <c r="GU43" i="5"/>
  <c r="GV43" i="5"/>
  <c r="GW43" i="5"/>
  <c r="GX43" i="5"/>
  <c r="GY43" i="5"/>
  <c r="GZ43" i="5"/>
  <c r="HA43" i="5"/>
  <c r="HB43" i="5"/>
  <c r="HC43" i="5"/>
  <c r="HD43" i="5"/>
  <c r="HE43" i="5"/>
  <c r="HF43" i="5"/>
  <c r="HG43" i="5"/>
  <c r="HH43" i="5"/>
  <c r="HI43" i="5"/>
  <c r="HJ43" i="5"/>
  <c r="HK43" i="5"/>
  <c r="HL43" i="5"/>
  <c r="HM43" i="5"/>
  <c r="HN43" i="5"/>
  <c r="HO43" i="5"/>
  <c r="HP43" i="5"/>
  <c r="HQ43" i="5"/>
  <c r="HR43" i="5"/>
  <c r="HS43" i="5"/>
  <c r="HT43" i="5"/>
  <c r="HU43" i="5"/>
  <c r="HV43" i="5"/>
  <c r="HW43" i="5"/>
  <c r="HX43" i="5"/>
  <c r="HY43" i="5"/>
  <c r="HZ43" i="5"/>
  <c r="IA43" i="5"/>
  <c r="IB43" i="5"/>
  <c r="IC43" i="5"/>
  <c r="ID43" i="5"/>
  <c r="IE43" i="5"/>
  <c r="IF43" i="5"/>
  <c r="IG43" i="5"/>
  <c r="IH43" i="5"/>
  <c r="II43" i="5"/>
  <c r="IJ43" i="5"/>
  <c r="IK43" i="5"/>
  <c r="IL43" i="5"/>
  <c r="IM43" i="5"/>
  <c r="IN43" i="5"/>
  <c r="IO43" i="5"/>
  <c r="IP43" i="5"/>
  <c r="IQ43" i="5"/>
  <c r="IR43" i="5"/>
  <c r="IS43" i="5"/>
  <c r="IT43" i="5"/>
  <c r="IU43" i="5"/>
  <c r="IV43" i="5"/>
  <c r="A42" i="5"/>
  <c r="B42"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BN42" i="5"/>
  <c r="BO42" i="5"/>
  <c r="BP42" i="5"/>
  <c r="BQ42" i="5"/>
  <c r="BR42" i="5"/>
  <c r="BS42" i="5"/>
  <c r="BT42" i="5"/>
  <c r="BU42" i="5"/>
  <c r="BV42" i="5"/>
  <c r="BW42" i="5"/>
  <c r="BX42" i="5"/>
  <c r="BY42" i="5"/>
  <c r="BZ42" i="5"/>
  <c r="CA42" i="5"/>
  <c r="CB42" i="5"/>
  <c r="CC42" i="5"/>
  <c r="CD42" i="5"/>
  <c r="CE42" i="5"/>
  <c r="CF42" i="5"/>
  <c r="CG42" i="5"/>
  <c r="CH42" i="5"/>
  <c r="CI42" i="5"/>
  <c r="CJ42" i="5"/>
  <c r="CK42" i="5"/>
  <c r="CL42" i="5"/>
  <c r="CM42" i="5"/>
  <c r="CN42" i="5"/>
  <c r="CO42" i="5"/>
  <c r="CP42" i="5"/>
  <c r="CQ42" i="5"/>
  <c r="CR42" i="5"/>
  <c r="CS42" i="5"/>
  <c r="CT42" i="5"/>
  <c r="CU42" i="5"/>
  <c r="CV42" i="5"/>
  <c r="CW42" i="5"/>
  <c r="CX42" i="5"/>
  <c r="CY42" i="5"/>
  <c r="CZ42" i="5"/>
  <c r="DA42" i="5"/>
  <c r="DB42" i="5"/>
  <c r="DC42" i="5"/>
  <c r="DD42" i="5"/>
  <c r="DE42" i="5"/>
  <c r="DF42" i="5"/>
  <c r="DG42" i="5"/>
  <c r="DH42" i="5"/>
  <c r="DI42" i="5"/>
  <c r="DJ42" i="5"/>
  <c r="DK42" i="5"/>
  <c r="DL42" i="5"/>
  <c r="DM42" i="5"/>
  <c r="DN42" i="5"/>
  <c r="DO42" i="5"/>
  <c r="DP42" i="5"/>
  <c r="DQ42" i="5"/>
  <c r="DR42" i="5"/>
  <c r="DS42" i="5"/>
  <c r="DT42" i="5"/>
  <c r="DU42" i="5"/>
  <c r="DV42" i="5"/>
  <c r="DW42" i="5"/>
  <c r="DX42" i="5"/>
  <c r="DY42" i="5"/>
  <c r="DZ42" i="5"/>
  <c r="EA42" i="5"/>
  <c r="EB42" i="5"/>
  <c r="EC42" i="5"/>
  <c r="ED42" i="5"/>
  <c r="EE42" i="5"/>
  <c r="EF42" i="5"/>
  <c r="EG42" i="5"/>
  <c r="EH42" i="5"/>
  <c r="EI42" i="5"/>
  <c r="EJ42" i="5"/>
  <c r="EK42" i="5"/>
  <c r="EL42" i="5"/>
  <c r="EM42" i="5"/>
  <c r="EN42" i="5"/>
  <c r="EO42" i="5"/>
  <c r="EP42" i="5"/>
  <c r="EQ42" i="5"/>
  <c r="ER42" i="5"/>
  <c r="ES42" i="5"/>
  <c r="ET42" i="5"/>
  <c r="EU42" i="5"/>
  <c r="EV42" i="5"/>
  <c r="EW42" i="5"/>
  <c r="EX42" i="5"/>
  <c r="EY42" i="5"/>
  <c r="EZ42" i="5"/>
  <c r="FA42" i="5"/>
  <c r="FB42" i="5"/>
  <c r="FC42" i="5"/>
  <c r="FD42" i="5"/>
  <c r="FE42" i="5"/>
  <c r="FF42" i="5"/>
  <c r="FG42" i="5"/>
  <c r="FH42" i="5"/>
  <c r="FI42" i="5"/>
  <c r="FJ42" i="5"/>
  <c r="FK42" i="5"/>
  <c r="FL42" i="5"/>
  <c r="FM42" i="5"/>
  <c r="FN42" i="5"/>
  <c r="FO42" i="5"/>
  <c r="FP42" i="5"/>
  <c r="FQ42" i="5"/>
  <c r="FR42" i="5"/>
  <c r="FS42" i="5"/>
  <c r="FT42" i="5"/>
  <c r="FU42" i="5"/>
  <c r="FV42" i="5"/>
  <c r="FW42" i="5"/>
  <c r="FX42" i="5"/>
  <c r="FY42" i="5"/>
  <c r="FZ42" i="5"/>
  <c r="GA42" i="5"/>
  <c r="GB42" i="5"/>
  <c r="GC42" i="5"/>
  <c r="GD42" i="5"/>
  <c r="GE42" i="5"/>
  <c r="GF42" i="5"/>
  <c r="GG42" i="5"/>
  <c r="GH42" i="5"/>
  <c r="GI42" i="5"/>
  <c r="GJ42" i="5"/>
  <c r="GK42" i="5"/>
  <c r="GL42" i="5"/>
  <c r="GM42" i="5"/>
  <c r="GN42" i="5"/>
  <c r="GO42" i="5"/>
  <c r="GP42" i="5"/>
  <c r="GQ42" i="5"/>
  <c r="GR42" i="5"/>
  <c r="GS42" i="5"/>
  <c r="GT42" i="5"/>
  <c r="GU42" i="5"/>
  <c r="GV42" i="5"/>
  <c r="GW42" i="5"/>
  <c r="GX42" i="5"/>
  <c r="GY42" i="5"/>
  <c r="GZ42" i="5"/>
  <c r="HA42" i="5"/>
  <c r="HB42" i="5"/>
  <c r="HC42" i="5"/>
  <c r="HD42" i="5"/>
  <c r="HE42" i="5"/>
  <c r="HF42" i="5"/>
  <c r="HG42" i="5"/>
  <c r="HH42" i="5"/>
  <c r="HI42" i="5"/>
  <c r="HJ42" i="5"/>
  <c r="HK42" i="5"/>
  <c r="HL42" i="5"/>
  <c r="HM42" i="5"/>
  <c r="HN42" i="5"/>
  <c r="HO42" i="5"/>
  <c r="HP42" i="5"/>
  <c r="HQ42" i="5"/>
  <c r="HR42" i="5"/>
  <c r="HS42" i="5"/>
  <c r="HT42" i="5"/>
  <c r="HU42" i="5"/>
  <c r="HV42" i="5"/>
  <c r="HW42" i="5"/>
  <c r="HX42" i="5"/>
  <c r="HY42" i="5"/>
  <c r="HZ42" i="5"/>
  <c r="IA42" i="5"/>
  <c r="IB42" i="5"/>
  <c r="IC42" i="5"/>
  <c r="ID42" i="5"/>
  <c r="IE42" i="5"/>
  <c r="IF42" i="5"/>
  <c r="IG42" i="5"/>
  <c r="IH42" i="5"/>
  <c r="II42" i="5"/>
  <c r="IJ42" i="5"/>
  <c r="IK42" i="5"/>
  <c r="IL42" i="5"/>
  <c r="IM42" i="5"/>
  <c r="IN42" i="5"/>
  <c r="IO42" i="5"/>
  <c r="IP42" i="5"/>
  <c r="IQ42" i="5"/>
  <c r="IR42" i="5"/>
  <c r="IS42" i="5"/>
  <c r="IT42" i="5"/>
  <c r="IU42" i="5"/>
  <c r="IV42" i="5"/>
  <c r="A41" i="5"/>
  <c r="B41"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BN41" i="5"/>
  <c r="BO41" i="5"/>
  <c r="BP41" i="5"/>
  <c r="BQ41" i="5"/>
  <c r="BR41" i="5"/>
  <c r="BS41" i="5"/>
  <c r="BT41" i="5"/>
  <c r="BU41" i="5"/>
  <c r="BV41" i="5"/>
  <c r="BW41" i="5"/>
  <c r="BX41" i="5"/>
  <c r="BY41" i="5"/>
  <c r="BZ41" i="5"/>
  <c r="CA41" i="5"/>
  <c r="CB41" i="5"/>
  <c r="CC41" i="5"/>
  <c r="CD41" i="5"/>
  <c r="CE41" i="5"/>
  <c r="CF41" i="5"/>
  <c r="CG41" i="5"/>
  <c r="CH41" i="5"/>
  <c r="CI41" i="5"/>
  <c r="CJ41" i="5"/>
  <c r="CK41" i="5"/>
  <c r="CL41" i="5"/>
  <c r="CM41" i="5"/>
  <c r="CN41" i="5"/>
  <c r="CO41" i="5"/>
  <c r="CP41" i="5"/>
  <c r="CQ41" i="5"/>
  <c r="CR41" i="5"/>
  <c r="CS41" i="5"/>
  <c r="CT41" i="5"/>
  <c r="CU41" i="5"/>
  <c r="CV41" i="5"/>
  <c r="CW41" i="5"/>
  <c r="CX41" i="5"/>
  <c r="CY41" i="5"/>
  <c r="CZ41" i="5"/>
  <c r="DA41" i="5"/>
  <c r="DB41" i="5"/>
  <c r="DC41" i="5"/>
  <c r="DD41" i="5"/>
  <c r="DE41" i="5"/>
  <c r="DF41" i="5"/>
  <c r="DG41" i="5"/>
  <c r="DH41" i="5"/>
  <c r="DI41" i="5"/>
  <c r="DJ41" i="5"/>
  <c r="DK41" i="5"/>
  <c r="DL41" i="5"/>
  <c r="DM41" i="5"/>
  <c r="DN41" i="5"/>
  <c r="DO41" i="5"/>
  <c r="DP41" i="5"/>
  <c r="DQ41" i="5"/>
  <c r="DR41" i="5"/>
  <c r="DS41" i="5"/>
  <c r="DT41" i="5"/>
  <c r="DU41" i="5"/>
  <c r="DV41" i="5"/>
  <c r="DW41" i="5"/>
  <c r="DX41" i="5"/>
  <c r="DY41" i="5"/>
  <c r="DZ41" i="5"/>
  <c r="EA41" i="5"/>
  <c r="EB41" i="5"/>
  <c r="EC41" i="5"/>
  <c r="ED41" i="5"/>
  <c r="EE41" i="5"/>
  <c r="EF41" i="5"/>
  <c r="EG41" i="5"/>
  <c r="EH41" i="5"/>
  <c r="EI41" i="5"/>
  <c r="EJ41" i="5"/>
  <c r="EK41" i="5"/>
  <c r="EL41" i="5"/>
  <c r="EM41" i="5"/>
  <c r="EN41" i="5"/>
  <c r="EO41" i="5"/>
  <c r="EP41" i="5"/>
  <c r="EQ41" i="5"/>
  <c r="ER41" i="5"/>
  <c r="ES41" i="5"/>
  <c r="ET41" i="5"/>
  <c r="EU41" i="5"/>
  <c r="EV41" i="5"/>
  <c r="EW41" i="5"/>
  <c r="EX41" i="5"/>
  <c r="EY41" i="5"/>
  <c r="EZ41" i="5"/>
  <c r="FA41" i="5"/>
  <c r="FB41" i="5"/>
  <c r="FC41" i="5"/>
  <c r="FD41" i="5"/>
  <c r="FE41" i="5"/>
  <c r="FF41" i="5"/>
  <c r="FG41" i="5"/>
  <c r="FH41" i="5"/>
  <c r="FI41" i="5"/>
  <c r="FJ41" i="5"/>
  <c r="FK41" i="5"/>
  <c r="FL41" i="5"/>
  <c r="FM41" i="5"/>
  <c r="FN41" i="5"/>
  <c r="FO41" i="5"/>
  <c r="FP41" i="5"/>
  <c r="FQ41" i="5"/>
  <c r="FR41" i="5"/>
  <c r="FS41" i="5"/>
  <c r="FT41" i="5"/>
  <c r="FU41" i="5"/>
  <c r="FV41" i="5"/>
  <c r="FW41" i="5"/>
  <c r="FX41" i="5"/>
  <c r="FY41" i="5"/>
  <c r="FZ41" i="5"/>
  <c r="GA41" i="5"/>
  <c r="GB41" i="5"/>
  <c r="GC41" i="5"/>
  <c r="GD41" i="5"/>
  <c r="GE41" i="5"/>
  <c r="GF41" i="5"/>
  <c r="GG41" i="5"/>
  <c r="GH41" i="5"/>
  <c r="GI41" i="5"/>
  <c r="GJ41" i="5"/>
  <c r="GK41" i="5"/>
  <c r="GL41" i="5"/>
  <c r="GM41" i="5"/>
  <c r="GN41" i="5"/>
  <c r="GO41" i="5"/>
  <c r="GP41" i="5"/>
  <c r="GQ41" i="5"/>
  <c r="GR41" i="5"/>
  <c r="GS41" i="5"/>
  <c r="GT41" i="5"/>
  <c r="GU41" i="5"/>
  <c r="GV41" i="5"/>
  <c r="GW41" i="5"/>
  <c r="GX41" i="5"/>
  <c r="GY41" i="5"/>
  <c r="GZ41" i="5"/>
  <c r="HA41" i="5"/>
  <c r="HB41" i="5"/>
  <c r="HC41" i="5"/>
  <c r="HD41" i="5"/>
  <c r="HE41" i="5"/>
  <c r="HF41" i="5"/>
  <c r="HG41" i="5"/>
  <c r="HH41" i="5"/>
  <c r="HI41" i="5"/>
  <c r="HJ41" i="5"/>
  <c r="HK41" i="5"/>
  <c r="HL41" i="5"/>
  <c r="HM41" i="5"/>
  <c r="HN41" i="5"/>
  <c r="HO41" i="5"/>
  <c r="HP41" i="5"/>
  <c r="HQ41" i="5"/>
  <c r="HR41" i="5"/>
  <c r="HS41" i="5"/>
  <c r="HT41" i="5"/>
  <c r="HU41" i="5"/>
  <c r="HV41" i="5"/>
  <c r="HW41" i="5"/>
  <c r="HX41" i="5"/>
  <c r="HY41" i="5"/>
  <c r="HZ41" i="5"/>
  <c r="IA41" i="5"/>
  <c r="IB41" i="5"/>
  <c r="IC41" i="5"/>
  <c r="ID41" i="5"/>
  <c r="IE41" i="5"/>
  <c r="IF41" i="5"/>
  <c r="IG41" i="5"/>
  <c r="IH41" i="5"/>
  <c r="II41" i="5"/>
  <c r="IJ41" i="5"/>
  <c r="IK41" i="5"/>
  <c r="IL41" i="5"/>
  <c r="IM41" i="5"/>
  <c r="IN41" i="5"/>
  <c r="IO41" i="5"/>
  <c r="IP41" i="5"/>
  <c r="IQ41" i="5"/>
  <c r="IR41" i="5"/>
  <c r="IS41" i="5"/>
  <c r="IT41" i="5"/>
  <c r="IU41" i="5"/>
  <c r="IV41" i="5"/>
  <c r="A40" i="5"/>
  <c r="B40"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BN40" i="5"/>
  <c r="BO40" i="5"/>
  <c r="BP40" i="5"/>
  <c r="BQ40" i="5"/>
  <c r="BR40" i="5"/>
  <c r="BS40" i="5"/>
  <c r="BT40" i="5"/>
  <c r="BU40" i="5"/>
  <c r="BV40" i="5"/>
  <c r="BW40" i="5"/>
  <c r="BX40" i="5"/>
  <c r="BY40" i="5"/>
  <c r="BZ40" i="5"/>
  <c r="CA40" i="5"/>
  <c r="CB40" i="5"/>
  <c r="CC40" i="5"/>
  <c r="CD40" i="5"/>
  <c r="CE40" i="5"/>
  <c r="CF40" i="5"/>
  <c r="CG40" i="5"/>
  <c r="CH40" i="5"/>
  <c r="CI40" i="5"/>
  <c r="CJ40" i="5"/>
  <c r="CK40" i="5"/>
  <c r="CL40" i="5"/>
  <c r="CM40" i="5"/>
  <c r="CN40" i="5"/>
  <c r="CO40" i="5"/>
  <c r="CP40" i="5"/>
  <c r="CQ40" i="5"/>
  <c r="CR40" i="5"/>
  <c r="CS40" i="5"/>
  <c r="CT40" i="5"/>
  <c r="CU40" i="5"/>
  <c r="CV40" i="5"/>
  <c r="CW40" i="5"/>
  <c r="CX40" i="5"/>
  <c r="CY40" i="5"/>
  <c r="CZ40" i="5"/>
  <c r="DA40" i="5"/>
  <c r="DB40" i="5"/>
  <c r="DC40" i="5"/>
  <c r="DD40" i="5"/>
  <c r="DE40" i="5"/>
  <c r="DF40" i="5"/>
  <c r="DG40" i="5"/>
  <c r="DH40" i="5"/>
  <c r="DI40" i="5"/>
  <c r="DJ40" i="5"/>
  <c r="DK40" i="5"/>
  <c r="DL40" i="5"/>
  <c r="DM40" i="5"/>
  <c r="DN40" i="5"/>
  <c r="DO40" i="5"/>
  <c r="DP40" i="5"/>
  <c r="DQ40" i="5"/>
  <c r="DR40" i="5"/>
  <c r="DS40" i="5"/>
  <c r="DT40" i="5"/>
  <c r="DU40" i="5"/>
  <c r="DV40" i="5"/>
  <c r="DW40" i="5"/>
  <c r="DX40" i="5"/>
  <c r="DY40" i="5"/>
  <c r="DZ40" i="5"/>
  <c r="EA40" i="5"/>
  <c r="EB40" i="5"/>
  <c r="EC40" i="5"/>
  <c r="ED40" i="5"/>
  <c r="EE40" i="5"/>
  <c r="EF40" i="5"/>
  <c r="EG40" i="5"/>
  <c r="EH40" i="5"/>
  <c r="EI40" i="5"/>
  <c r="EJ40" i="5"/>
  <c r="EK40" i="5"/>
  <c r="EL40" i="5"/>
  <c r="EM40" i="5"/>
  <c r="EN40" i="5"/>
  <c r="EO40" i="5"/>
  <c r="EP40" i="5"/>
  <c r="EQ40" i="5"/>
  <c r="ER40" i="5"/>
  <c r="ES40" i="5"/>
  <c r="ET40" i="5"/>
  <c r="EU40" i="5"/>
  <c r="EV40" i="5"/>
  <c r="EW40" i="5"/>
  <c r="EX40" i="5"/>
  <c r="EY40" i="5"/>
  <c r="EZ40" i="5"/>
  <c r="FA40" i="5"/>
  <c r="FB40" i="5"/>
  <c r="FC40" i="5"/>
  <c r="FD40" i="5"/>
  <c r="FE40" i="5"/>
  <c r="FF40" i="5"/>
  <c r="FG40" i="5"/>
  <c r="FH40" i="5"/>
  <c r="FI40" i="5"/>
  <c r="FJ40" i="5"/>
  <c r="FK40" i="5"/>
  <c r="FL40" i="5"/>
  <c r="FM40" i="5"/>
  <c r="FN40" i="5"/>
  <c r="FO40" i="5"/>
  <c r="FP40" i="5"/>
  <c r="FQ40" i="5"/>
  <c r="FR40" i="5"/>
  <c r="FS40" i="5"/>
  <c r="FT40" i="5"/>
  <c r="FU40" i="5"/>
  <c r="FV40" i="5"/>
  <c r="FW40" i="5"/>
  <c r="FX40" i="5"/>
  <c r="FY40" i="5"/>
  <c r="FZ40" i="5"/>
  <c r="GA40" i="5"/>
  <c r="GB40" i="5"/>
  <c r="GC40" i="5"/>
  <c r="GD40" i="5"/>
  <c r="GE40" i="5"/>
  <c r="GF40" i="5"/>
  <c r="GG40" i="5"/>
  <c r="GH40" i="5"/>
  <c r="GI40" i="5"/>
  <c r="GJ40" i="5"/>
  <c r="GK40" i="5"/>
  <c r="GL40" i="5"/>
  <c r="GM40" i="5"/>
  <c r="GN40" i="5"/>
  <c r="GO40" i="5"/>
  <c r="GP40" i="5"/>
  <c r="GQ40" i="5"/>
  <c r="GR40" i="5"/>
  <c r="GS40" i="5"/>
  <c r="GT40" i="5"/>
  <c r="GU40" i="5"/>
  <c r="GV40" i="5"/>
  <c r="GW40" i="5"/>
  <c r="GX40" i="5"/>
  <c r="GY40" i="5"/>
  <c r="GZ40" i="5"/>
  <c r="HA40" i="5"/>
  <c r="HB40" i="5"/>
  <c r="HC40" i="5"/>
  <c r="HD40" i="5"/>
  <c r="HE40" i="5"/>
  <c r="HF40" i="5"/>
  <c r="HG40" i="5"/>
  <c r="HH40" i="5"/>
  <c r="HI40" i="5"/>
  <c r="HJ40" i="5"/>
  <c r="HK40" i="5"/>
  <c r="HL40" i="5"/>
  <c r="HM40" i="5"/>
  <c r="HN40" i="5"/>
  <c r="HO40" i="5"/>
  <c r="HP40" i="5"/>
  <c r="HQ40" i="5"/>
  <c r="HR40" i="5"/>
  <c r="HS40" i="5"/>
  <c r="HT40" i="5"/>
  <c r="HU40" i="5"/>
  <c r="HV40" i="5"/>
  <c r="HW40" i="5"/>
  <c r="HX40" i="5"/>
  <c r="HY40" i="5"/>
  <c r="HZ40" i="5"/>
  <c r="IA40" i="5"/>
  <c r="IB40" i="5"/>
  <c r="IC40" i="5"/>
  <c r="ID40" i="5"/>
  <c r="IE40" i="5"/>
  <c r="IF40" i="5"/>
  <c r="IG40" i="5"/>
  <c r="IH40" i="5"/>
  <c r="II40" i="5"/>
  <c r="IJ40" i="5"/>
  <c r="IK40" i="5"/>
  <c r="IL40" i="5"/>
  <c r="IM40" i="5"/>
  <c r="IN40" i="5"/>
  <c r="IO40" i="5"/>
  <c r="IP40" i="5"/>
  <c r="IQ40" i="5"/>
  <c r="IR40" i="5"/>
  <c r="IS40" i="5"/>
  <c r="IT40" i="5"/>
  <c r="IU40" i="5"/>
  <c r="IV40" i="5"/>
  <c r="A39" i="5"/>
  <c r="B39"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S39" i="5"/>
  <c r="BT39" i="5"/>
  <c r="BU39" i="5"/>
  <c r="BV39" i="5"/>
  <c r="BW39" i="5"/>
  <c r="BX39" i="5"/>
  <c r="BY39" i="5"/>
  <c r="BZ39" i="5"/>
  <c r="CA39" i="5"/>
  <c r="CB39" i="5"/>
  <c r="CC39" i="5"/>
  <c r="CD39" i="5"/>
  <c r="CE39" i="5"/>
  <c r="CF39" i="5"/>
  <c r="CG39" i="5"/>
  <c r="CH39" i="5"/>
  <c r="CI39" i="5"/>
  <c r="CJ39" i="5"/>
  <c r="CK39" i="5"/>
  <c r="CL39" i="5"/>
  <c r="CM39" i="5"/>
  <c r="CN39" i="5"/>
  <c r="CO39" i="5"/>
  <c r="CP39" i="5"/>
  <c r="CQ39" i="5"/>
  <c r="CR39" i="5"/>
  <c r="CS39" i="5"/>
  <c r="CT39" i="5"/>
  <c r="CU39" i="5"/>
  <c r="CV39" i="5"/>
  <c r="CW39" i="5"/>
  <c r="CX39" i="5"/>
  <c r="CY39" i="5"/>
  <c r="CZ39" i="5"/>
  <c r="DA39" i="5"/>
  <c r="DB39" i="5"/>
  <c r="DC39" i="5"/>
  <c r="DD39" i="5"/>
  <c r="DE39" i="5"/>
  <c r="DF39" i="5"/>
  <c r="DG39" i="5"/>
  <c r="DH39" i="5"/>
  <c r="DI39" i="5"/>
  <c r="DJ39" i="5"/>
  <c r="DK39" i="5"/>
  <c r="DL39" i="5"/>
  <c r="DM39" i="5"/>
  <c r="DN39" i="5"/>
  <c r="DO39" i="5"/>
  <c r="DP39" i="5"/>
  <c r="DQ39" i="5"/>
  <c r="DR39" i="5"/>
  <c r="DS39" i="5"/>
  <c r="DT39" i="5"/>
  <c r="DU39" i="5"/>
  <c r="DV39" i="5"/>
  <c r="DW39" i="5"/>
  <c r="DX39" i="5"/>
  <c r="DY39" i="5"/>
  <c r="DZ39" i="5"/>
  <c r="EA39" i="5"/>
  <c r="EB39" i="5"/>
  <c r="EC39" i="5"/>
  <c r="ED39" i="5"/>
  <c r="EE39" i="5"/>
  <c r="EF39" i="5"/>
  <c r="EG39" i="5"/>
  <c r="EH39" i="5"/>
  <c r="EI39" i="5"/>
  <c r="EJ39" i="5"/>
  <c r="EK39" i="5"/>
  <c r="EL39" i="5"/>
  <c r="EM39" i="5"/>
  <c r="EN39" i="5"/>
  <c r="EO39" i="5"/>
  <c r="EP39" i="5"/>
  <c r="EQ39" i="5"/>
  <c r="ER39" i="5"/>
  <c r="ES39" i="5"/>
  <c r="ET39" i="5"/>
  <c r="EU39" i="5"/>
  <c r="EV39" i="5"/>
  <c r="EW39" i="5"/>
  <c r="EX39" i="5"/>
  <c r="EY39" i="5"/>
  <c r="EZ39" i="5"/>
  <c r="FA39" i="5"/>
  <c r="FB39" i="5"/>
  <c r="FC39" i="5"/>
  <c r="FD39" i="5"/>
  <c r="FE39" i="5"/>
  <c r="FF39" i="5"/>
  <c r="FG39" i="5"/>
  <c r="FH39" i="5"/>
  <c r="FI39" i="5"/>
  <c r="FJ39" i="5"/>
  <c r="FK39" i="5"/>
  <c r="FL39" i="5"/>
  <c r="FM39" i="5"/>
  <c r="FN39" i="5"/>
  <c r="FO39" i="5"/>
  <c r="FP39" i="5"/>
  <c r="FQ39" i="5"/>
  <c r="FR39" i="5"/>
  <c r="FS39" i="5"/>
  <c r="FT39" i="5"/>
  <c r="FU39" i="5"/>
  <c r="FV39" i="5"/>
  <c r="FW39" i="5"/>
  <c r="FX39" i="5"/>
  <c r="FY39" i="5"/>
  <c r="FZ39" i="5"/>
  <c r="GA39" i="5"/>
  <c r="GB39" i="5"/>
  <c r="GC39" i="5"/>
  <c r="GD39" i="5"/>
  <c r="GE39" i="5"/>
  <c r="GF39" i="5"/>
  <c r="GG39" i="5"/>
  <c r="GH39" i="5"/>
  <c r="GI39" i="5"/>
  <c r="GJ39" i="5"/>
  <c r="GK39" i="5"/>
  <c r="GL39" i="5"/>
  <c r="GM39" i="5"/>
  <c r="GN39" i="5"/>
  <c r="GO39" i="5"/>
  <c r="GP39" i="5"/>
  <c r="GQ39" i="5"/>
  <c r="GR39" i="5"/>
  <c r="GS39" i="5"/>
  <c r="GT39" i="5"/>
  <c r="GU39" i="5"/>
  <c r="GV39" i="5"/>
  <c r="GW39" i="5"/>
  <c r="GX39" i="5"/>
  <c r="GY39" i="5"/>
  <c r="GZ39" i="5"/>
  <c r="HA39" i="5"/>
  <c r="HB39" i="5"/>
  <c r="HC39" i="5"/>
  <c r="HD39" i="5"/>
  <c r="HE39" i="5"/>
  <c r="HF39" i="5"/>
  <c r="HG39" i="5"/>
  <c r="HH39" i="5"/>
  <c r="HI39" i="5"/>
  <c r="HJ39" i="5"/>
  <c r="HK39" i="5"/>
  <c r="HL39" i="5"/>
  <c r="HM39" i="5"/>
  <c r="HN39" i="5"/>
  <c r="HO39" i="5"/>
  <c r="HP39" i="5"/>
  <c r="HQ39" i="5"/>
  <c r="HR39" i="5"/>
  <c r="HS39" i="5"/>
  <c r="HT39" i="5"/>
  <c r="HU39" i="5"/>
  <c r="HV39" i="5"/>
  <c r="HW39" i="5"/>
  <c r="HX39" i="5"/>
  <c r="HY39" i="5"/>
  <c r="HZ39" i="5"/>
  <c r="IA39" i="5"/>
  <c r="IB39" i="5"/>
  <c r="IC39" i="5"/>
  <c r="ID39" i="5"/>
  <c r="IE39" i="5"/>
  <c r="IF39" i="5"/>
  <c r="IG39" i="5"/>
  <c r="IH39" i="5"/>
  <c r="II39" i="5"/>
  <c r="IJ39" i="5"/>
  <c r="IK39" i="5"/>
  <c r="IL39" i="5"/>
  <c r="IM39" i="5"/>
  <c r="IN39" i="5"/>
  <c r="IO39" i="5"/>
  <c r="IP39" i="5"/>
  <c r="IQ39" i="5"/>
  <c r="IR39" i="5"/>
  <c r="IS39" i="5"/>
  <c r="IT39" i="5"/>
  <c r="IU39" i="5"/>
  <c r="IV39" i="5"/>
  <c r="A38" i="5"/>
  <c r="B38"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CI38" i="5"/>
  <c r="CJ38" i="5"/>
  <c r="CK38" i="5"/>
  <c r="CL38" i="5"/>
  <c r="CM38" i="5"/>
  <c r="CN38" i="5"/>
  <c r="CO38" i="5"/>
  <c r="CP38" i="5"/>
  <c r="CQ38" i="5"/>
  <c r="CR38" i="5"/>
  <c r="CS38" i="5"/>
  <c r="CT38" i="5"/>
  <c r="CU38" i="5"/>
  <c r="CV38" i="5"/>
  <c r="CW38" i="5"/>
  <c r="CX38" i="5"/>
  <c r="CY38" i="5"/>
  <c r="CZ38" i="5"/>
  <c r="DA38" i="5"/>
  <c r="DB38" i="5"/>
  <c r="DC38" i="5"/>
  <c r="DD38" i="5"/>
  <c r="DE38" i="5"/>
  <c r="DF38" i="5"/>
  <c r="DG38" i="5"/>
  <c r="DH38" i="5"/>
  <c r="DI38" i="5"/>
  <c r="DJ38" i="5"/>
  <c r="DK38" i="5"/>
  <c r="DL38" i="5"/>
  <c r="DM38" i="5"/>
  <c r="DN38" i="5"/>
  <c r="DO38" i="5"/>
  <c r="DP38" i="5"/>
  <c r="DQ38" i="5"/>
  <c r="DR38" i="5"/>
  <c r="DS38" i="5"/>
  <c r="DT38" i="5"/>
  <c r="DU38" i="5"/>
  <c r="DV38" i="5"/>
  <c r="DW38" i="5"/>
  <c r="DX38" i="5"/>
  <c r="DY38" i="5"/>
  <c r="DZ38" i="5"/>
  <c r="EA38" i="5"/>
  <c r="EB38" i="5"/>
  <c r="EC38" i="5"/>
  <c r="ED38" i="5"/>
  <c r="EE38" i="5"/>
  <c r="EF38" i="5"/>
  <c r="EG38" i="5"/>
  <c r="EH38" i="5"/>
  <c r="EI38" i="5"/>
  <c r="EJ38" i="5"/>
  <c r="EK38" i="5"/>
  <c r="EL38" i="5"/>
  <c r="EM38" i="5"/>
  <c r="EN38" i="5"/>
  <c r="EO38" i="5"/>
  <c r="EP38" i="5"/>
  <c r="EQ38" i="5"/>
  <c r="ER38" i="5"/>
  <c r="ES38" i="5"/>
  <c r="ET38" i="5"/>
  <c r="EU38" i="5"/>
  <c r="EV38" i="5"/>
  <c r="EW38" i="5"/>
  <c r="EX38" i="5"/>
  <c r="EY38" i="5"/>
  <c r="EZ38" i="5"/>
  <c r="FA38" i="5"/>
  <c r="FB38" i="5"/>
  <c r="FC38" i="5"/>
  <c r="FD38" i="5"/>
  <c r="FE38" i="5"/>
  <c r="FF38" i="5"/>
  <c r="FG38" i="5"/>
  <c r="FH38" i="5"/>
  <c r="FI38" i="5"/>
  <c r="FJ38" i="5"/>
  <c r="FK38" i="5"/>
  <c r="FL38" i="5"/>
  <c r="FM38" i="5"/>
  <c r="FN38" i="5"/>
  <c r="FO38" i="5"/>
  <c r="FP38" i="5"/>
  <c r="FQ38" i="5"/>
  <c r="FR38" i="5"/>
  <c r="FS38" i="5"/>
  <c r="FT38" i="5"/>
  <c r="FU38" i="5"/>
  <c r="FV38" i="5"/>
  <c r="FW38" i="5"/>
  <c r="FX38" i="5"/>
  <c r="FY38" i="5"/>
  <c r="FZ38" i="5"/>
  <c r="GA38" i="5"/>
  <c r="GB38" i="5"/>
  <c r="GC38" i="5"/>
  <c r="GD38" i="5"/>
  <c r="GE38" i="5"/>
  <c r="GF38" i="5"/>
  <c r="GG38" i="5"/>
  <c r="GH38" i="5"/>
  <c r="GI38" i="5"/>
  <c r="GJ38" i="5"/>
  <c r="GK38" i="5"/>
  <c r="GL38" i="5"/>
  <c r="GM38" i="5"/>
  <c r="GN38" i="5"/>
  <c r="GO38" i="5"/>
  <c r="GP38" i="5"/>
  <c r="GQ38" i="5"/>
  <c r="GR38" i="5"/>
  <c r="GS38" i="5"/>
  <c r="GT38" i="5"/>
  <c r="GU38" i="5"/>
  <c r="GV38" i="5"/>
  <c r="GW38" i="5"/>
  <c r="GX38" i="5"/>
  <c r="GY38" i="5"/>
  <c r="GZ38" i="5"/>
  <c r="HA38" i="5"/>
  <c r="HB38" i="5"/>
  <c r="HC38" i="5"/>
  <c r="HD38" i="5"/>
  <c r="HE38" i="5"/>
  <c r="HF38" i="5"/>
  <c r="HG38" i="5"/>
  <c r="HH38" i="5"/>
  <c r="HI38" i="5"/>
  <c r="HJ38" i="5"/>
  <c r="HK38" i="5"/>
  <c r="HL38" i="5"/>
  <c r="HM38" i="5"/>
  <c r="HN38" i="5"/>
  <c r="HO38" i="5"/>
  <c r="HP38" i="5"/>
  <c r="HQ38" i="5"/>
  <c r="HR38" i="5"/>
  <c r="HS38" i="5"/>
  <c r="HT38" i="5"/>
  <c r="HU38" i="5"/>
  <c r="HV38" i="5"/>
  <c r="HW38" i="5"/>
  <c r="HX38" i="5"/>
  <c r="HY38" i="5"/>
  <c r="HZ38" i="5"/>
  <c r="IA38" i="5"/>
  <c r="IB38" i="5"/>
  <c r="IC38" i="5"/>
  <c r="ID38" i="5"/>
  <c r="IE38" i="5"/>
  <c r="IF38" i="5"/>
  <c r="IG38" i="5"/>
  <c r="IH38" i="5"/>
  <c r="II38" i="5"/>
  <c r="IJ38" i="5"/>
  <c r="IK38" i="5"/>
  <c r="IL38" i="5"/>
  <c r="IM38" i="5"/>
  <c r="IN38" i="5"/>
  <c r="IO38" i="5"/>
  <c r="IP38" i="5"/>
  <c r="IQ38" i="5"/>
  <c r="IR38" i="5"/>
  <c r="IS38" i="5"/>
  <c r="IT38" i="5"/>
  <c r="IU38" i="5"/>
  <c r="IV38" i="5"/>
  <c r="A37" i="5"/>
  <c r="B37"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BN37" i="5"/>
  <c r="BO37" i="5"/>
  <c r="BP37" i="5"/>
  <c r="BQ37" i="5"/>
  <c r="BR37" i="5"/>
  <c r="BS37" i="5"/>
  <c r="BT37" i="5"/>
  <c r="BU37" i="5"/>
  <c r="BV37" i="5"/>
  <c r="BW37" i="5"/>
  <c r="BX37" i="5"/>
  <c r="BY37" i="5"/>
  <c r="BZ37" i="5"/>
  <c r="CA37" i="5"/>
  <c r="CB37" i="5"/>
  <c r="CC37" i="5"/>
  <c r="CD37" i="5"/>
  <c r="CE37" i="5"/>
  <c r="CF37" i="5"/>
  <c r="CG37" i="5"/>
  <c r="CH37" i="5"/>
  <c r="CI37" i="5"/>
  <c r="CJ37" i="5"/>
  <c r="CK37" i="5"/>
  <c r="CL37" i="5"/>
  <c r="CM37" i="5"/>
  <c r="CN37" i="5"/>
  <c r="CO37" i="5"/>
  <c r="CP37" i="5"/>
  <c r="CQ37" i="5"/>
  <c r="CR37" i="5"/>
  <c r="CS37" i="5"/>
  <c r="CT37" i="5"/>
  <c r="CU37" i="5"/>
  <c r="CV37" i="5"/>
  <c r="CW37" i="5"/>
  <c r="CX37" i="5"/>
  <c r="CY37" i="5"/>
  <c r="CZ37" i="5"/>
  <c r="DA37" i="5"/>
  <c r="DB37" i="5"/>
  <c r="DC37" i="5"/>
  <c r="DD37" i="5"/>
  <c r="DE37" i="5"/>
  <c r="DF37" i="5"/>
  <c r="DG37" i="5"/>
  <c r="DH37" i="5"/>
  <c r="DI37" i="5"/>
  <c r="DJ37" i="5"/>
  <c r="DK37" i="5"/>
  <c r="DL37" i="5"/>
  <c r="DM37" i="5"/>
  <c r="DN37" i="5"/>
  <c r="DO37" i="5"/>
  <c r="DP37" i="5"/>
  <c r="DQ37" i="5"/>
  <c r="DR37" i="5"/>
  <c r="DS37" i="5"/>
  <c r="DT37" i="5"/>
  <c r="DU37" i="5"/>
  <c r="DV37" i="5"/>
  <c r="DW37" i="5"/>
  <c r="DX37" i="5"/>
  <c r="DY37" i="5"/>
  <c r="DZ37" i="5"/>
  <c r="EA37" i="5"/>
  <c r="EB37" i="5"/>
  <c r="EC37" i="5"/>
  <c r="ED37" i="5"/>
  <c r="EE37" i="5"/>
  <c r="EF37" i="5"/>
  <c r="EG37" i="5"/>
  <c r="EH37" i="5"/>
  <c r="EI37" i="5"/>
  <c r="EJ37" i="5"/>
  <c r="EK37" i="5"/>
  <c r="EL37" i="5"/>
  <c r="EM37" i="5"/>
  <c r="EN37" i="5"/>
  <c r="EO37" i="5"/>
  <c r="EP37" i="5"/>
  <c r="EQ37" i="5"/>
  <c r="ER37" i="5"/>
  <c r="ES37" i="5"/>
  <c r="ET37" i="5"/>
  <c r="EU37" i="5"/>
  <c r="EV37" i="5"/>
  <c r="EW37" i="5"/>
  <c r="EX37" i="5"/>
  <c r="EY37" i="5"/>
  <c r="EZ37" i="5"/>
  <c r="FA37" i="5"/>
  <c r="FB37" i="5"/>
  <c r="FC37" i="5"/>
  <c r="FD37" i="5"/>
  <c r="FE37" i="5"/>
  <c r="FF37" i="5"/>
  <c r="FG37" i="5"/>
  <c r="FH37" i="5"/>
  <c r="FI37" i="5"/>
  <c r="FJ37" i="5"/>
  <c r="FK37" i="5"/>
  <c r="FL37" i="5"/>
  <c r="FM37" i="5"/>
  <c r="FN37" i="5"/>
  <c r="FO37" i="5"/>
  <c r="FP37" i="5"/>
  <c r="FQ37" i="5"/>
  <c r="FR37" i="5"/>
  <c r="FS37" i="5"/>
  <c r="FT37" i="5"/>
  <c r="FU37" i="5"/>
  <c r="FV37" i="5"/>
  <c r="FW37" i="5"/>
  <c r="FX37" i="5"/>
  <c r="FY37" i="5"/>
  <c r="FZ37" i="5"/>
  <c r="GA37" i="5"/>
  <c r="GB37" i="5"/>
  <c r="GC37" i="5"/>
  <c r="GD37" i="5"/>
  <c r="GE37" i="5"/>
  <c r="GF37" i="5"/>
  <c r="GG37" i="5"/>
  <c r="GH37" i="5"/>
  <c r="GI37" i="5"/>
  <c r="GJ37" i="5"/>
  <c r="GK37" i="5"/>
  <c r="GL37" i="5"/>
  <c r="GM37" i="5"/>
  <c r="GN37" i="5"/>
  <c r="GO37" i="5"/>
  <c r="GP37" i="5"/>
  <c r="GQ37" i="5"/>
  <c r="GR37" i="5"/>
  <c r="GS37" i="5"/>
  <c r="GT37" i="5"/>
  <c r="GU37" i="5"/>
  <c r="GV37" i="5"/>
  <c r="GW37" i="5"/>
  <c r="GX37" i="5"/>
  <c r="GY37" i="5"/>
  <c r="GZ37" i="5"/>
  <c r="HA37" i="5"/>
  <c r="HB37" i="5"/>
  <c r="HC37" i="5"/>
  <c r="HD37" i="5"/>
  <c r="HE37" i="5"/>
  <c r="HF37" i="5"/>
  <c r="HG37" i="5"/>
  <c r="HH37" i="5"/>
  <c r="HI37" i="5"/>
  <c r="HJ37" i="5"/>
  <c r="HK37" i="5"/>
  <c r="HL37" i="5"/>
  <c r="HM37" i="5"/>
  <c r="HN37" i="5"/>
  <c r="HO37" i="5"/>
  <c r="HP37" i="5"/>
  <c r="HQ37" i="5"/>
  <c r="HR37" i="5"/>
  <c r="HS37" i="5"/>
  <c r="HT37" i="5"/>
  <c r="HU37" i="5"/>
  <c r="HV37" i="5"/>
  <c r="HW37" i="5"/>
  <c r="HX37" i="5"/>
  <c r="HY37" i="5"/>
  <c r="HZ37" i="5"/>
  <c r="IA37" i="5"/>
  <c r="IB37" i="5"/>
  <c r="IC37" i="5"/>
  <c r="ID37" i="5"/>
  <c r="IE37" i="5"/>
  <c r="IF37" i="5"/>
  <c r="IG37" i="5"/>
  <c r="IH37" i="5"/>
  <c r="II37" i="5"/>
  <c r="IJ37" i="5"/>
  <c r="IK37" i="5"/>
  <c r="IL37" i="5"/>
  <c r="IM37" i="5"/>
  <c r="IN37" i="5"/>
  <c r="IO37" i="5"/>
  <c r="IP37" i="5"/>
  <c r="IQ37" i="5"/>
  <c r="IR37" i="5"/>
  <c r="IS37" i="5"/>
  <c r="IT37" i="5"/>
  <c r="IU37" i="5"/>
  <c r="IV37" i="5"/>
  <c r="A36" i="5"/>
  <c r="B36"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B36" i="5"/>
  <c r="CC36" i="5"/>
  <c r="CD36" i="5"/>
  <c r="CE36" i="5"/>
  <c r="CF36" i="5"/>
  <c r="CG36" i="5"/>
  <c r="CH36" i="5"/>
  <c r="CI36" i="5"/>
  <c r="CJ36" i="5"/>
  <c r="CK36" i="5"/>
  <c r="CL36" i="5"/>
  <c r="CM36" i="5"/>
  <c r="CN36" i="5"/>
  <c r="CO36" i="5"/>
  <c r="CP36" i="5"/>
  <c r="CQ36" i="5"/>
  <c r="CR36" i="5"/>
  <c r="CS36" i="5"/>
  <c r="CT36" i="5"/>
  <c r="CU36" i="5"/>
  <c r="CV36" i="5"/>
  <c r="CW36" i="5"/>
  <c r="CX36" i="5"/>
  <c r="CY36" i="5"/>
  <c r="CZ36" i="5"/>
  <c r="DA36" i="5"/>
  <c r="DB36" i="5"/>
  <c r="DC36" i="5"/>
  <c r="DD36" i="5"/>
  <c r="DE36" i="5"/>
  <c r="DF36" i="5"/>
  <c r="DG36" i="5"/>
  <c r="DH36" i="5"/>
  <c r="DI36" i="5"/>
  <c r="DJ36" i="5"/>
  <c r="DK36" i="5"/>
  <c r="DL36" i="5"/>
  <c r="DM36" i="5"/>
  <c r="DN36" i="5"/>
  <c r="DO36" i="5"/>
  <c r="DP36" i="5"/>
  <c r="DQ36" i="5"/>
  <c r="DR36" i="5"/>
  <c r="DS36" i="5"/>
  <c r="DT36" i="5"/>
  <c r="DU36" i="5"/>
  <c r="DV36" i="5"/>
  <c r="DW36" i="5"/>
  <c r="DX36" i="5"/>
  <c r="DY36" i="5"/>
  <c r="DZ36" i="5"/>
  <c r="EA36" i="5"/>
  <c r="EB36" i="5"/>
  <c r="EC36" i="5"/>
  <c r="ED36" i="5"/>
  <c r="EE36" i="5"/>
  <c r="EF36" i="5"/>
  <c r="EG36" i="5"/>
  <c r="EH36" i="5"/>
  <c r="EI36" i="5"/>
  <c r="EJ36" i="5"/>
  <c r="EK36" i="5"/>
  <c r="EL36" i="5"/>
  <c r="EM36" i="5"/>
  <c r="EN36" i="5"/>
  <c r="EO36" i="5"/>
  <c r="EP36" i="5"/>
  <c r="EQ36" i="5"/>
  <c r="ER36" i="5"/>
  <c r="ES36" i="5"/>
  <c r="ET36" i="5"/>
  <c r="EU36" i="5"/>
  <c r="EV36" i="5"/>
  <c r="EW36" i="5"/>
  <c r="EX36" i="5"/>
  <c r="EY36" i="5"/>
  <c r="EZ36" i="5"/>
  <c r="FA36" i="5"/>
  <c r="FB36" i="5"/>
  <c r="FC36" i="5"/>
  <c r="FD36" i="5"/>
  <c r="FE36" i="5"/>
  <c r="FF36" i="5"/>
  <c r="FG36" i="5"/>
  <c r="FH36" i="5"/>
  <c r="FI36" i="5"/>
  <c r="FJ36" i="5"/>
  <c r="FK36" i="5"/>
  <c r="FL36" i="5"/>
  <c r="FM36" i="5"/>
  <c r="FN36" i="5"/>
  <c r="FO36" i="5"/>
  <c r="FP36" i="5"/>
  <c r="FQ36" i="5"/>
  <c r="FR36" i="5"/>
  <c r="FS36" i="5"/>
  <c r="FT36" i="5"/>
  <c r="FU36" i="5"/>
  <c r="FV36" i="5"/>
  <c r="FW36" i="5"/>
  <c r="FX36" i="5"/>
  <c r="FY36" i="5"/>
  <c r="FZ36" i="5"/>
  <c r="GA36" i="5"/>
  <c r="GB36" i="5"/>
  <c r="GC36" i="5"/>
  <c r="GD36" i="5"/>
  <c r="GE36" i="5"/>
  <c r="GF36" i="5"/>
  <c r="GG36" i="5"/>
  <c r="GH36" i="5"/>
  <c r="GI36" i="5"/>
  <c r="GJ36" i="5"/>
  <c r="GK36" i="5"/>
  <c r="GL36" i="5"/>
  <c r="GM36" i="5"/>
  <c r="GN36" i="5"/>
  <c r="GO36" i="5"/>
  <c r="GP36" i="5"/>
  <c r="GQ36" i="5"/>
  <c r="GR36" i="5"/>
  <c r="GS36" i="5"/>
  <c r="GT36" i="5"/>
  <c r="GU36" i="5"/>
  <c r="GV36" i="5"/>
  <c r="GW36" i="5"/>
  <c r="GX36" i="5"/>
  <c r="GY36" i="5"/>
  <c r="GZ36" i="5"/>
  <c r="HA36" i="5"/>
  <c r="HB36" i="5"/>
  <c r="HC36" i="5"/>
  <c r="HD36" i="5"/>
  <c r="HE36" i="5"/>
  <c r="HF36" i="5"/>
  <c r="HG36" i="5"/>
  <c r="HH36" i="5"/>
  <c r="HI36" i="5"/>
  <c r="HJ36" i="5"/>
  <c r="HK36" i="5"/>
  <c r="HL36" i="5"/>
  <c r="HM36" i="5"/>
  <c r="HN36" i="5"/>
  <c r="HO36" i="5"/>
  <c r="HP36" i="5"/>
  <c r="HQ36" i="5"/>
  <c r="HR36" i="5"/>
  <c r="HS36" i="5"/>
  <c r="HT36" i="5"/>
  <c r="HU36" i="5"/>
  <c r="HV36" i="5"/>
  <c r="HW36" i="5"/>
  <c r="HX36" i="5"/>
  <c r="HY36" i="5"/>
  <c r="HZ36" i="5"/>
  <c r="IA36" i="5"/>
  <c r="IB36" i="5"/>
  <c r="IC36" i="5"/>
  <c r="ID36" i="5"/>
  <c r="IE36" i="5"/>
  <c r="IF36" i="5"/>
  <c r="IG36" i="5"/>
  <c r="IH36" i="5"/>
  <c r="II36" i="5"/>
  <c r="IJ36" i="5"/>
  <c r="IK36" i="5"/>
  <c r="IL36" i="5"/>
  <c r="IM36" i="5"/>
  <c r="IN36" i="5"/>
  <c r="IO36" i="5"/>
  <c r="IP36" i="5"/>
  <c r="IQ36" i="5"/>
  <c r="IR36" i="5"/>
  <c r="IS36" i="5"/>
  <c r="IT36" i="5"/>
  <c r="IU36" i="5"/>
  <c r="IV36" i="5"/>
  <c r="A35"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CJ35" i="5"/>
  <c r="CK35" i="5"/>
  <c r="CL35" i="5"/>
  <c r="CM35" i="5"/>
  <c r="CN35" i="5"/>
  <c r="CO35" i="5"/>
  <c r="CP35" i="5"/>
  <c r="CQ35" i="5"/>
  <c r="CR35" i="5"/>
  <c r="CS35" i="5"/>
  <c r="CT35" i="5"/>
  <c r="CU35" i="5"/>
  <c r="CV35" i="5"/>
  <c r="CW35" i="5"/>
  <c r="CX35" i="5"/>
  <c r="CY35" i="5"/>
  <c r="CZ35" i="5"/>
  <c r="DA35" i="5"/>
  <c r="DB35" i="5"/>
  <c r="DC35" i="5"/>
  <c r="DD35" i="5"/>
  <c r="DE35" i="5"/>
  <c r="DF35" i="5"/>
  <c r="DG35" i="5"/>
  <c r="DH35" i="5"/>
  <c r="DI35" i="5"/>
  <c r="DJ35" i="5"/>
  <c r="DK35" i="5"/>
  <c r="DL35" i="5"/>
  <c r="DM35" i="5"/>
  <c r="DN35" i="5"/>
  <c r="DO35" i="5"/>
  <c r="DP35" i="5"/>
  <c r="DQ35" i="5"/>
  <c r="DR35" i="5"/>
  <c r="DS35" i="5"/>
  <c r="DT35" i="5"/>
  <c r="DU35" i="5"/>
  <c r="DV35" i="5"/>
  <c r="DW35" i="5"/>
  <c r="DX35" i="5"/>
  <c r="DY35" i="5"/>
  <c r="DZ35" i="5"/>
  <c r="EA35" i="5"/>
  <c r="EB35" i="5"/>
  <c r="EC35" i="5"/>
  <c r="ED35" i="5"/>
  <c r="EE35" i="5"/>
  <c r="EF35" i="5"/>
  <c r="EG35" i="5"/>
  <c r="EH35" i="5"/>
  <c r="EI35" i="5"/>
  <c r="EJ35" i="5"/>
  <c r="EK35" i="5"/>
  <c r="EL35" i="5"/>
  <c r="EM35" i="5"/>
  <c r="EN35" i="5"/>
  <c r="EO35" i="5"/>
  <c r="EP35" i="5"/>
  <c r="EQ35" i="5"/>
  <c r="ER35" i="5"/>
  <c r="ES35" i="5"/>
  <c r="ET35" i="5"/>
  <c r="EU35" i="5"/>
  <c r="EV35" i="5"/>
  <c r="EW35" i="5"/>
  <c r="EX35" i="5"/>
  <c r="EY35" i="5"/>
  <c r="EZ35" i="5"/>
  <c r="FA35" i="5"/>
  <c r="FB35" i="5"/>
  <c r="FC35" i="5"/>
  <c r="FD35" i="5"/>
  <c r="FE35" i="5"/>
  <c r="FF35" i="5"/>
  <c r="FG35" i="5"/>
  <c r="FH35" i="5"/>
  <c r="FI35" i="5"/>
  <c r="FJ35" i="5"/>
  <c r="FK35" i="5"/>
  <c r="FL35" i="5"/>
  <c r="FM35" i="5"/>
  <c r="FN35" i="5"/>
  <c r="FO35" i="5"/>
  <c r="FP35" i="5"/>
  <c r="FQ35" i="5"/>
  <c r="FR35" i="5"/>
  <c r="FS35" i="5"/>
  <c r="FT35" i="5"/>
  <c r="FU35" i="5"/>
  <c r="FV35" i="5"/>
  <c r="FW35" i="5"/>
  <c r="FX35" i="5"/>
  <c r="FY35" i="5"/>
  <c r="FZ35" i="5"/>
  <c r="GA35" i="5"/>
  <c r="GB35" i="5"/>
  <c r="GC35" i="5"/>
  <c r="GD35" i="5"/>
  <c r="GE35" i="5"/>
  <c r="GF35" i="5"/>
  <c r="GG35" i="5"/>
  <c r="GH35" i="5"/>
  <c r="GI35" i="5"/>
  <c r="GJ35" i="5"/>
  <c r="GK35" i="5"/>
  <c r="GL35" i="5"/>
  <c r="GM35" i="5"/>
  <c r="GN35" i="5"/>
  <c r="GO35" i="5"/>
  <c r="GP35" i="5"/>
  <c r="GQ35" i="5"/>
  <c r="GR35" i="5"/>
  <c r="GS35" i="5"/>
  <c r="GT35" i="5"/>
  <c r="GU35" i="5"/>
  <c r="GV35" i="5"/>
  <c r="GW35" i="5"/>
  <c r="GX35" i="5"/>
  <c r="GY35" i="5"/>
  <c r="GZ35" i="5"/>
  <c r="HA35" i="5"/>
  <c r="HB35" i="5"/>
  <c r="HC35" i="5"/>
  <c r="HD35" i="5"/>
  <c r="HE35" i="5"/>
  <c r="HF35" i="5"/>
  <c r="HG35" i="5"/>
  <c r="HH35" i="5"/>
  <c r="HI35" i="5"/>
  <c r="HJ35" i="5"/>
  <c r="HK35" i="5"/>
  <c r="HL35" i="5"/>
  <c r="HM35" i="5"/>
  <c r="HN35" i="5"/>
  <c r="HO35" i="5"/>
  <c r="HP35" i="5"/>
  <c r="HQ35" i="5"/>
  <c r="HR35" i="5"/>
  <c r="HS35" i="5"/>
  <c r="HT35" i="5"/>
  <c r="HU35" i="5"/>
  <c r="HV35" i="5"/>
  <c r="HW35" i="5"/>
  <c r="HX35" i="5"/>
  <c r="HY35" i="5"/>
  <c r="HZ35" i="5"/>
  <c r="IA35" i="5"/>
  <c r="IB35" i="5"/>
  <c r="IC35" i="5"/>
  <c r="ID35" i="5"/>
  <c r="IE35" i="5"/>
  <c r="IF35" i="5"/>
  <c r="IG35" i="5"/>
  <c r="IH35" i="5"/>
  <c r="II35" i="5"/>
  <c r="IJ35" i="5"/>
  <c r="IK35" i="5"/>
  <c r="IL35" i="5"/>
  <c r="IM35" i="5"/>
  <c r="IN35" i="5"/>
  <c r="IO35" i="5"/>
  <c r="IP35" i="5"/>
  <c r="IQ35" i="5"/>
  <c r="IR35" i="5"/>
  <c r="IS35" i="5"/>
  <c r="IT35" i="5"/>
  <c r="IU35" i="5"/>
  <c r="IV35" i="5"/>
  <c r="A34" i="5"/>
  <c r="B34"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CJ34" i="5"/>
  <c r="CK34" i="5"/>
  <c r="CL34" i="5"/>
  <c r="CM34" i="5"/>
  <c r="CN34" i="5"/>
  <c r="CO34" i="5"/>
  <c r="CP34" i="5"/>
  <c r="CQ34" i="5"/>
  <c r="CR34" i="5"/>
  <c r="CS34" i="5"/>
  <c r="CT34" i="5"/>
  <c r="CU34" i="5"/>
  <c r="CV34" i="5"/>
  <c r="CW34" i="5"/>
  <c r="CX34" i="5"/>
  <c r="CY34" i="5"/>
  <c r="CZ34" i="5"/>
  <c r="DA34" i="5"/>
  <c r="DB34" i="5"/>
  <c r="DC34" i="5"/>
  <c r="DD34" i="5"/>
  <c r="DE34" i="5"/>
  <c r="DF34" i="5"/>
  <c r="DG34" i="5"/>
  <c r="DH34" i="5"/>
  <c r="DI34" i="5"/>
  <c r="DJ34" i="5"/>
  <c r="DK34" i="5"/>
  <c r="DL34" i="5"/>
  <c r="DM34" i="5"/>
  <c r="DN34" i="5"/>
  <c r="DO34" i="5"/>
  <c r="DP34" i="5"/>
  <c r="DQ34" i="5"/>
  <c r="DR34" i="5"/>
  <c r="DS34" i="5"/>
  <c r="DT34" i="5"/>
  <c r="DU34" i="5"/>
  <c r="DV34" i="5"/>
  <c r="DW34" i="5"/>
  <c r="DX34" i="5"/>
  <c r="DY34" i="5"/>
  <c r="DZ34" i="5"/>
  <c r="EA34" i="5"/>
  <c r="EB34" i="5"/>
  <c r="EC34" i="5"/>
  <c r="ED34" i="5"/>
  <c r="EE34" i="5"/>
  <c r="EF34" i="5"/>
  <c r="EG34" i="5"/>
  <c r="EH34" i="5"/>
  <c r="EI34" i="5"/>
  <c r="EJ34" i="5"/>
  <c r="EK34" i="5"/>
  <c r="EL34" i="5"/>
  <c r="EM34" i="5"/>
  <c r="EN34" i="5"/>
  <c r="EO34" i="5"/>
  <c r="EP34" i="5"/>
  <c r="EQ34" i="5"/>
  <c r="ER34" i="5"/>
  <c r="ES34" i="5"/>
  <c r="ET34" i="5"/>
  <c r="EU34" i="5"/>
  <c r="EV34" i="5"/>
  <c r="EW34" i="5"/>
  <c r="EX34" i="5"/>
  <c r="EY34" i="5"/>
  <c r="EZ34" i="5"/>
  <c r="FA34" i="5"/>
  <c r="FB34" i="5"/>
  <c r="FC34" i="5"/>
  <c r="FD34" i="5"/>
  <c r="FE34" i="5"/>
  <c r="FF34" i="5"/>
  <c r="FG34" i="5"/>
  <c r="FH34" i="5"/>
  <c r="FI34" i="5"/>
  <c r="FJ34" i="5"/>
  <c r="FK34" i="5"/>
  <c r="FL34" i="5"/>
  <c r="FM34" i="5"/>
  <c r="FN34" i="5"/>
  <c r="FO34" i="5"/>
  <c r="FP34" i="5"/>
  <c r="FQ34" i="5"/>
  <c r="FR34" i="5"/>
  <c r="FS34" i="5"/>
  <c r="FT34" i="5"/>
  <c r="FU34" i="5"/>
  <c r="FV34" i="5"/>
  <c r="FW34" i="5"/>
  <c r="FX34" i="5"/>
  <c r="FY34" i="5"/>
  <c r="FZ34" i="5"/>
  <c r="GA34" i="5"/>
  <c r="GB34" i="5"/>
  <c r="GC34" i="5"/>
  <c r="GD34" i="5"/>
  <c r="GE34" i="5"/>
  <c r="GF34" i="5"/>
  <c r="GG34" i="5"/>
  <c r="GH34" i="5"/>
  <c r="GI34" i="5"/>
  <c r="GJ34" i="5"/>
  <c r="GK34" i="5"/>
  <c r="GL34" i="5"/>
  <c r="GM34" i="5"/>
  <c r="GN34" i="5"/>
  <c r="GO34" i="5"/>
  <c r="GP34" i="5"/>
  <c r="GQ34" i="5"/>
  <c r="GR34" i="5"/>
  <c r="GS34" i="5"/>
  <c r="GT34" i="5"/>
  <c r="GU34" i="5"/>
  <c r="GV34" i="5"/>
  <c r="GW34" i="5"/>
  <c r="GX34" i="5"/>
  <c r="GY34" i="5"/>
  <c r="GZ34" i="5"/>
  <c r="HA34" i="5"/>
  <c r="HB34" i="5"/>
  <c r="HC34" i="5"/>
  <c r="HD34" i="5"/>
  <c r="HE34" i="5"/>
  <c r="HF34" i="5"/>
  <c r="HG34" i="5"/>
  <c r="HH34" i="5"/>
  <c r="HI34" i="5"/>
  <c r="HJ34" i="5"/>
  <c r="HK34" i="5"/>
  <c r="HL34" i="5"/>
  <c r="HM34" i="5"/>
  <c r="HN34" i="5"/>
  <c r="HO34" i="5"/>
  <c r="HP34" i="5"/>
  <c r="HQ34" i="5"/>
  <c r="HR34" i="5"/>
  <c r="HS34" i="5"/>
  <c r="HT34" i="5"/>
  <c r="HU34" i="5"/>
  <c r="HV34" i="5"/>
  <c r="HW34" i="5"/>
  <c r="HX34" i="5"/>
  <c r="HY34" i="5"/>
  <c r="HZ34" i="5"/>
  <c r="IA34" i="5"/>
  <c r="IB34" i="5"/>
  <c r="IC34" i="5"/>
  <c r="ID34" i="5"/>
  <c r="IE34" i="5"/>
  <c r="IF34" i="5"/>
  <c r="IG34" i="5"/>
  <c r="IH34" i="5"/>
  <c r="II34" i="5"/>
  <c r="IJ34" i="5"/>
  <c r="IK34" i="5"/>
  <c r="IL34" i="5"/>
  <c r="IM34" i="5"/>
  <c r="IN34" i="5"/>
  <c r="IO34" i="5"/>
  <c r="IP34" i="5"/>
  <c r="IQ34" i="5"/>
  <c r="IR34" i="5"/>
  <c r="IS34" i="5"/>
  <c r="IT34" i="5"/>
  <c r="IU34" i="5"/>
  <c r="IV34" i="5"/>
  <c r="A33" i="5"/>
  <c r="B33"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BN33" i="5"/>
  <c r="BO33" i="5"/>
  <c r="BP33" i="5"/>
  <c r="BQ33" i="5"/>
  <c r="BR33" i="5"/>
  <c r="BS33" i="5"/>
  <c r="BT33" i="5"/>
  <c r="BU33" i="5"/>
  <c r="BV33" i="5"/>
  <c r="BW33" i="5"/>
  <c r="BX33" i="5"/>
  <c r="BY33" i="5"/>
  <c r="BZ33" i="5"/>
  <c r="CA33" i="5"/>
  <c r="CB33" i="5"/>
  <c r="CC33" i="5"/>
  <c r="CD33" i="5"/>
  <c r="CE33" i="5"/>
  <c r="CF33" i="5"/>
  <c r="CG33" i="5"/>
  <c r="CH33" i="5"/>
  <c r="CI33" i="5"/>
  <c r="CJ33" i="5"/>
  <c r="CK33" i="5"/>
  <c r="CL33" i="5"/>
  <c r="CM33" i="5"/>
  <c r="CN33" i="5"/>
  <c r="CO33" i="5"/>
  <c r="CP33" i="5"/>
  <c r="CQ33" i="5"/>
  <c r="CR33" i="5"/>
  <c r="CS33" i="5"/>
  <c r="CT33" i="5"/>
  <c r="CU33" i="5"/>
  <c r="CV33" i="5"/>
  <c r="CW33" i="5"/>
  <c r="CX33" i="5"/>
  <c r="CY33" i="5"/>
  <c r="CZ33" i="5"/>
  <c r="DA33" i="5"/>
  <c r="DB33" i="5"/>
  <c r="DC33" i="5"/>
  <c r="DD33" i="5"/>
  <c r="DE33" i="5"/>
  <c r="DF33" i="5"/>
  <c r="DG33" i="5"/>
  <c r="DH33" i="5"/>
  <c r="DI33" i="5"/>
  <c r="DJ33" i="5"/>
  <c r="DK33" i="5"/>
  <c r="DL33" i="5"/>
  <c r="DM33" i="5"/>
  <c r="DN33" i="5"/>
  <c r="DO33" i="5"/>
  <c r="DP33" i="5"/>
  <c r="DQ33" i="5"/>
  <c r="DR33" i="5"/>
  <c r="DS33" i="5"/>
  <c r="DT33" i="5"/>
  <c r="DU33" i="5"/>
  <c r="DV33" i="5"/>
  <c r="DW33" i="5"/>
  <c r="DX33" i="5"/>
  <c r="DY33" i="5"/>
  <c r="DZ33" i="5"/>
  <c r="EA33" i="5"/>
  <c r="EB33" i="5"/>
  <c r="EC33" i="5"/>
  <c r="ED33" i="5"/>
  <c r="EE33" i="5"/>
  <c r="EF33" i="5"/>
  <c r="EG33" i="5"/>
  <c r="EH33" i="5"/>
  <c r="EI33" i="5"/>
  <c r="EJ33" i="5"/>
  <c r="EK33" i="5"/>
  <c r="EL33" i="5"/>
  <c r="EM33" i="5"/>
  <c r="EN33" i="5"/>
  <c r="EO33" i="5"/>
  <c r="EP33" i="5"/>
  <c r="EQ33" i="5"/>
  <c r="ER33" i="5"/>
  <c r="ES33" i="5"/>
  <c r="ET33" i="5"/>
  <c r="EU33" i="5"/>
  <c r="EV33" i="5"/>
  <c r="EW33" i="5"/>
  <c r="EX33" i="5"/>
  <c r="EY33" i="5"/>
  <c r="EZ33" i="5"/>
  <c r="FA33" i="5"/>
  <c r="FB33" i="5"/>
  <c r="FC33" i="5"/>
  <c r="FD33" i="5"/>
  <c r="FE33" i="5"/>
  <c r="FF33" i="5"/>
  <c r="FG33" i="5"/>
  <c r="FH33" i="5"/>
  <c r="FI33" i="5"/>
  <c r="FJ33" i="5"/>
  <c r="FK33" i="5"/>
  <c r="FL33" i="5"/>
  <c r="FM33" i="5"/>
  <c r="FN33" i="5"/>
  <c r="FO33" i="5"/>
  <c r="FP33" i="5"/>
  <c r="FQ33" i="5"/>
  <c r="FR33" i="5"/>
  <c r="FS33" i="5"/>
  <c r="FT33" i="5"/>
  <c r="FU33" i="5"/>
  <c r="FV33" i="5"/>
  <c r="FW33" i="5"/>
  <c r="FX33" i="5"/>
  <c r="FY33" i="5"/>
  <c r="FZ33" i="5"/>
  <c r="GA33" i="5"/>
  <c r="GB33" i="5"/>
  <c r="GC33" i="5"/>
  <c r="GD33" i="5"/>
  <c r="GE33" i="5"/>
  <c r="GF33" i="5"/>
  <c r="GG33" i="5"/>
  <c r="GH33" i="5"/>
  <c r="GI33" i="5"/>
  <c r="GJ33" i="5"/>
  <c r="GK33" i="5"/>
  <c r="GL33" i="5"/>
  <c r="GM33" i="5"/>
  <c r="GN33" i="5"/>
  <c r="GO33" i="5"/>
  <c r="GP33" i="5"/>
  <c r="GQ33" i="5"/>
  <c r="GR33" i="5"/>
  <c r="GS33" i="5"/>
  <c r="GT33" i="5"/>
  <c r="GU33" i="5"/>
  <c r="GV33" i="5"/>
  <c r="GW33" i="5"/>
  <c r="GX33" i="5"/>
  <c r="GY33" i="5"/>
  <c r="GZ33" i="5"/>
  <c r="HA33" i="5"/>
  <c r="HB33" i="5"/>
  <c r="HC33" i="5"/>
  <c r="HD33" i="5"/>
  <c r="HE33" i="5"/>
  <c r="HF33" i="5"/>
  <c r="HG33" i="5"/>
  <c r="HH33" i="5"/>
  <c r="HI33" i="5"/>
  <c r="HJ33" i="5"/>
  <c r="HK33" i="5"/>
  <c r="HL33" i="5"/>
  <c r="HM33" i="5"/>
  <c r="HN33" i="5"/>
  <c r="HO33" i="5"/>
  <c r="HP33" i="5"/>
  <c r="HQ33" i="5"/>
  <c r="HR33" i="5"/>
  <c r="HS33" i="5"/>
  <c r="HT33" i="5"/>
  <c r="HU33" i="5"/>
  <c r="HV33" i="5"/>
  <c r="HW33" i="5"/>
  <c r="HX33" i="5"/>
  <c r="HY33" i="5"/>
  <c r="HZ33" i="5"/>
  <c r="IA33" i="5"/>
  <c r="IB33" i="5"/>
  <c r="IC33" i="5"/>
  <c r="ID33" i="5"/>
  <c r="IE33" i="5"/>
  <c r="IF33" i="5"/>
  <c r="IG33" i="5"/>
  <c r="IH33" i="5"/>
  <c r="II33" i="5"/>
  <c r="IJ33" i="5"/>
  <c r="IK33" i="5"/>
  <c r="IL33" i="5"/>
  <c r="IM33" i="5"/>
  <c r="IN33" i="5"/>
  <c r="IO33" i="5"/>
  <c r="IP33" i="5"/>
  <c r="IQ33" i="5"/>
  <c r="IR33" i="5"/>
  <c r="IS33" i="5"/>
  <c r="IT33" i="5"/>
  <c r="IU33" i="5"/>
  <c r="IV33" i="5"/>
  <c r="B32" i="5"/>
  <c r="C32" i="5"/>
  <c r="B31" i="5"/>
  <c r="C31" i="5"/>
  <c r="B30" i="5"/>
  <c r="C30" i="5"/>
  <c r="B29" i="5"/>
  <c r="C29" i="5"/>
  <c r="A28"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CI28" i="5"/>
  <c r="CJ28" i="5"/>
  <c r="CL28" i="5"/>
  <c r="CM28" i="5"/>
  <c r="A27"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M27" i="5"/>
  <c r="BN27" i="5"/>
  <c r="B26" i="5"/>
  <c r="C26" i="5"/>
  <c r="B25" i="5"/>
  <c r="C25" i="5"/>
  <c r="B24" i="5"/>
  <c r="C24" i="5"/>
  <c r="B23" i="5"/>
  <c r="C23" i="5"/>
  <c r="A22" i="5"/>
  <c r="B22" i="5"/>
  <c r="C22" i="5"/>
  <c r="D22" i="5"/>
  <c r="E22" i="5"/>
  <c r="F22" i="5"/>
  <c r="G22" i="5"/>
  <c r="H22" i="5"/>
  <c r="I22" i="5"/>
  <c r="J22" i="5"/>
  <c r="K22" i="5"/>
  <c r="L22" i="5"/>
  <c r="M22" i="5"/>
  <c r="N22" i="5"/>
  <c r="O22" i="5"/>
  <c r="P22" i="5"/>
  <c r="Q22" i="5"/>
  <c r="R22" i="5"/>
  <c r="S22" i="5"/>
  <c r="T22" i="5"/>
  <c r="U22" i="5"/>
  <c r="V22" i="5"/>
  <c r="X22" i="5"/>
  <c r="Y22" i="5"/>
  <c r="B21" i="5"/>
  <c r="C21" i="5"/>
  <c r="A20" i="5"/>
  <c r="B20"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BN20" i="5"/>
  <c r="BP20" i="5"/>
  <c r="BQ20" i="5"/>
  <c r="B19" i="5"/>
  <c r="C19" i="5"/>
  <c r="B18" i="5"/>
  <c r="C18" i="5"/>
  <c r="A17" i="5"/>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AN17" i="5"/>
  <c r="AO17" i="5"/>
  <c r="AP17" i="5"/>
  <c r="AQ17" i="5"/>
  <c r="AT17" i="5"/>
  <c r="AU17" i="5"/>
  <c r="A16" i="5"/>
  <c r="B16"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BN16" i="5"/>
  <c r="BO16" i="5"/>
  <c r="BP16" i="5"/>
  <c r="BQ16" i="5"/>
  <c r="BR16" i="5"/>
  <c r="BS16" i="5"/>
  <c r="BT16" i="5"/>
  <c r="BU16" i="5"/>
  <c r="BV16" i="5"/>
  <c r="BW16" i="5"/>
  <c r="BX16" i="5"/>
  <c r="BY16" i="5"/>
  <c r="BZ16" i="5"/>
  <c r="CA16" i="5"/>
  <c r="CB16" i="5"/>
  <c r="CC16" i="5"/>
  <c r="CD16" i="5"/>
  <c r="CE16" i="5"/>
  <c r="CF16" i="5"/>
  <c r="CG16" i="5"/>
  <c r="CH16" i="5"/>
  <c r="CI16" i="5"/>
  <c r="CJ16" i="5"/>
  <c r="CK16" i="5"/>
  <c r="CL16" i="5"/>
  <c r="CM16" i="5"/>
  <c r="CN16" i="5"/>
  <c r="CO16" i="5"/>
  <c r="CP16" i="5"/>
  <c r="CQ16" i="5"/>
  <c r="CR16" i="5"/>
  <c r="CS16" i="5"/>
  <c r="CT16" i="5"/>
  <c r="CU16" i="5"/>
  <c r="CV16" i="5"/>
  <c r="CW16" i="5"/>
  <c r="CX16" i="5"/>
  <c r="CY16" i="5"/>
  <c r="CZ16" i="5"/>
  <c r="DA16" i="5"/>
  <c r="DB16" i="5"/>
  <c r="DC16" i="5"/>
  <c r="DD16" i="5"/>
  <c r="DE16" i="5"/>
  <c r="DF16" i="5"/>
  <c r="DG16" i="5"/>
  <c r="DH16" i="5"/>
  <c r="DI16" i="5"/>
  <c r="DJ16" i="5"/>
  <c r="DK16" i="5"/>
  <c r="DL16" i="5"/>
  <c r="DM16" i="5"/>
  <c r="DN16" i="5"/>
  <c r="DO16" i="5"/>
  <c r="DP16" i="5"/>
  <c r="DQ16" i="5"/>
  <c r="DR16" i="5"/>
  <c r="DS16" i="5"/>
  <c r="DT16" i="5"/>
  <c r="DU16" i="5"/>
  <c r="DV16" i="5"/>
  <c r="DW16" i="5"/>
  <c r="DX16" i="5"/>
  <c r="DY16" i="5"/>
  <c r="DZ16" i="5"/>
  <c r="EA16" i="5"/>
  <c r="EB16" i="5"/>
  <c r="EC16" i="5"/>
  <c r="ED16" i="5"/>
  <c r="EE16" i="5"/>
  <c r="EF16" i="5"/>
  <c r="EG16" i="5"/>
  <c r="EH16" i="5"/>
  <c r="EI16" i="5"/>
  <c r="EJ16" i="5"/>
  <c r="EK16" i="5"/>
  <c r="EL16" i="5"/>
  <c r="EM16" i="5"/>
  <c r="EN16" i="5"/>
  <c r="EO16" i="5"/>
  <c r="EP16" i="5"/>
  <c r="EQ16" i="5"/>
  <c r="ER16" i="5"/>
  <c r="ES16" i="5"/>
  <c r="ET16" i="5"/>
  <c r="EU16" i="5"/>
  <c r="EV16" i="5"/>
  <c r="EW16" i="5"/>
  <c r="EX16" i="5"/>
  <c r="EY16" i="5"/>
  <c r="EZ16" i="5"/>
  <c r="FA16" i="5"/>
  <c r="FB16" i="5"/>
  <c r="FC16" i="5"/>
  <c r="FD16" i="5"/>
  <c r="FE16" i="5"/>
  <c r="FF16" i="5"/>
  <c r="FG16" i="5"/>
  <c r="FH16" i="5"/>
  <c r="FI16" i="5"/>
  <c r="FJ16" i="5"/>
  <c r="FK16" i="5"/>
  <c r="FL16" i="5"/>
  <c r="FM16" i="5"/>
  <c r="FN16" i="5"/>
  <c r="FO16" i="5"/>
  <c r="FP16" i="5"/>
  <c r="FQ16" i="5"/>
  <c r="FR16" i="5"/>
  <c r="FS16" i="5"/>
  <c r="FT16" i="5"/>
  <c r="FU16" i="5"/>
  <c r="FV16" i="5"/>
  <c r="FW16" i="5"/>
  <c r="FX16" i="5"/>
  <c r="FY16" i="5"/>
  <c r="FZ16" i="5"/>
  <c r="GA16" i="5"/>
  <c r="GB16" i="5"/>
  <c r="GC16" i="5"/>
  <c r="GD16" i="5"/>
  <c r="GE16" i="5"/>
  <c r="GF16" i="5"/>
  <c r="GG16" i="5"/>
  <c r="GH16" i="5"/>
  <c r="GI16" i="5"/>
  <c r="GJ16" i="5"/>
  <c r="GK16" i="5"/>
  <c r="GL16" i="5"/>
  <c r="GM16" i="5"/>
  <c r="GN16" i="5"/>
  <c r="GO16" i="5"/>
  <c r="GP16" i="5"/>
  <c r="GQ16" i="5"/>
  <c r="GR16" i="5"/>
  <c r="GS16" i="5"/>
  <c r="GT16" i="5"/>
  <c r="GU16" i="5"/>
  <c r="GV16" i="5"/>
  <c r="GW16" i="5"/>
  <c r="GX16" i="5"/>
  <c r="GY16" i="5"/>
  <c r="GZ16" i="5"/>
  <c r="HA16" i="5"/>
  <c r="HB16" i="5"/>
  <c r="HC16" i="5"/>
  <c r="HD16" i="5"/>
  <c r="HE16" i="5"/>
  <c r="HF16" i="5"/>
  <c r="HG16" i="5"/>
  <c r="HH16" i="5"/>
  <c r="HI16" i="5"/>
  <c r="HJ16" i="5"/>
  <c r="HK16" i="5"/>
  <c r="HL16" i="5"/>
  <c r="HM16" i="5"/>
  <c r="HN16" i="5"/>
  <c r="HO16" i="5"/>
  <c r="HP16" i="5"/>
  <c r="HQ16" i="5"/>
  <c r="HR16" i="5"/>
  <c r="HS16" i="5"/>
  <c r="HT16" i="5"/>
  <c r="HU16" i="5"/>
  <c r="HV16" i="5"/>
  <c r="HW16" i="5"/>
  <c r="HX16" i="5"/>
  <c r="HY16" i="5"/>
  <c r="HZ16" i="5"/>
  <c r="IA16" i="5"/>
  <c r="IB16" i="5"/>
  <c r="IC16" i="5"/>
  <c r="ID16" i="5"/>
  <c r="IE16" i="5"/>
  <c r="IF16" i="5"/>
  <c r="IG16" i="5"/>
  <c r="IH16" i="5"/>
  <c r="II16" i="5"/>
  <c r="IJ16" i="5"/>
  <c r="IK16" i="5"/>
  <c r="IL16" i="5"/>
  <c r="IM16" i="5"/>
  <c r="IN16" i="5"/>
  <c r="IO16" i="5"/>
  <c r="IP16" i="5"/>
  <c r="IQ16" i="5"/>
  <c r="IR16" i="5"/>
  <c r="IS16" i="5"/>
  <c r="IT16" i="5"/>
  <c r="IU16" i="5"/>
  <c r="IV16" i="5"/>
  <c r="A15"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AI15"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BN15" i="5"/>
  <c r="BO15" i="5"/>
  <c r="BP15" i="5"/>
  <c r="BQ15" i="5"/>
  <c r="BR15" i="5"/>
  <c r="BS15" i="5"/>
  <c r="BT15" i="5"/>
  <c r="BU15" i="5"/>
  <c r="BV15" i="5"/>
  <c r="BW15" i="5"/>
  <c r="BX15" i="5"/>
  <c r="BY15" i="5"/>
  <c r="BZ15" i="5"/>
  <c r="CA15" i="5"/>
  <c r="CB15" i="5"/>
  <c r="CC15" i="5"/>
  <c r="CD15" i="5"/>
  <c r="CE15" i="5"/>
  <c r="CF15" i="5"/>
  <c r="CG15" i="5"/>
  <c r="CH15" i="5"/>
  <c r="CI15" i="5"/>
  <c r="CJ15" i="5"/>
  <c r="CK15" i="5"/>
  <c r="CL15" i="5"/>
  <c r="CM15" i="5"/>
  <c r="CN15" i="5"/>
  <c r="CO15" i="5"/>
  <c r="CP15" i="5"/>
  <c r="CQ15" i="5"/>
  <c r="CR15" i="5"/>
  <c r="CS15" i="5"/>
  <c r="CT15" i="5"/>
  <c r="CU15" i="5"/>
  <c r="CV15" i="5"/>
  <c r="CW15" i="5"/>
  <c r="CX15" i="5"/>
  <c r="CY15" i="5"/>
  <c r="CZ15" i="5"/>
  <c r="DA15" i="5"/>
  <c r="DB15" i="5"/>
  <c r="DC15" i="5"/>
  <c r="DD15" i="5"/>
  <c r="DE15" i="5"/>
  <c r="DF15" i="5"/>
  <c r="DG15" i="5"/>
  <c r="DH15" i="5"/>
  <c r="DI15" i="5"/>
  <c r="DJ15" i="5"/>
  <c r="DK15" i="5"/>
  <c r="DL15" i="5"/>
  <c r="DM15" i="5"/>
  <c r="DN15" i="5"/>
  <c r="DO15" i="5"/>
  <c r="DP15" i="5"/>
  <c r="DQ15" i="5"/>
  <c r="DR15" i="5"/>
  <c r="DS15" i="5"/>
  <c r="DT15" i="5"/>
  <c r="DU15" i="5"/>
  <c r="DV15" i="5"/>
  <c r="DW15" i="5"/>
  <c r="DX15" i="5"/>
  <c r="DY15" i="5"/>
  <c r="DZ15" i="5"/>
  <c r="EA15" i="5"/>
  <c r="EB15" i="5"/>
  <c r="EC15" i="5"/>
  <c r="ED15" i="5"/>
  <c r="EE15" i="5"/>
  <c r="EF15" i="5"/>
  <c r="EG15" i="5"/>
  <c r="EH15" i="5"/>
  <c r="EI15" i="5"/>
  <c r="EJ15" i="5"/>
  <c r="EK15" i="5"/>
  <c r="EL15" i="5"/>
  <c r="EM15" i="5"/>
  <c r="EN15" i="5"/>
  <c r="EO15" i="5"/>
  <c r="EP15" i="5"/>
  <c r="EQ15" i="5"/>
  <c r="ER15" i="5"/>
  <c r="ES15" i="5"/>
  <c r="ET15" i="5"/>
  <c r="EU15" i="5"/>
  <c r="EV15" i="5"/>
  <c r="EW15" i="5"/>
  <c r="EX15" i="5"/>
  <c r="EY15" i="5"/>
  <c r="EZ15" i="5"/>
  <c r="FA15" i="5"/>
  <c r="FB15" i="5"/>
  <c r="FC15" i="5"/>
  <c r="FD15" i="5"/>
  <c r="FE15" i="5"/>
  <c r="FF15" i="5"/>
  <c r="FG15" i="5"/>
  <c r="FH15" i="5"/>
  <c r="FI15" i="5"/>
  <c r="FJ15" i="5"/>
  <c r="FK15" i="5"/>
  <c r="FL15" i="5"/>
  <c r="FM15" i="5"/>
  <c r="FN15" i="5"/>
  <c r="FO15" i="5"/>
  <c r="FP15" i="5"/>
  <c r="FQ15" i="5"/>
  <c r="FR15" i="5"/>
  <c r="FS15" i="5"/>
  <c r="FT15" i="5"/>
  <c r="FU15" i="5"/>
  <c r="FV15" i="5"/>
  <c r="FW15" i="5"/>
  <c r="FX15" i="5"/>
  <c r="FY15" i="5"/>
  <c r="FZ15" i="5"/>
  <c r="GA15" i="5"/>
  <c r="GB15" i="5"/>
  <c r="GC15" i="5"/>
  <c r="GD15" i="5"/>
  <c r="GE15" i="5"/>
  <c r="GF15" i="5"/>
  <c r="GG15" i="5"/>
  <c r="GH15" i="5"/>
  <c r="GI15" i="5"/>
  <c r="GJ15" i="5"/>
  <c r="GK15" i="5"/>
  <c r="GL15" i="5"/>
  <c r="GM15" i="5"/>
  <c r="GN15" i="5"/>
  <c r="GO15" i="5"/>
  <c r="GP15" i="5"/>
  <c r="GQ15" i="5"/>
  <c r="GR15" i="5"/>
  <c r="GS15" i="5"/>
  <c r="GT15" i="5"/>
  <c r="GU15" i="5"/>
  <c r="GV15" i="5"/>
  <c r="GW15" i="5"/>
  <c r="GX15" i="5"/>
  <c r="GY15" i="5"/>
  <c r="GZ15" i="5"/>
  <c r="HA15" i="5"/>
  <c r="HB15" i="5"/>
  <c r="HC15" i="5"/>
  <c r="HD15" i="5"/>
  <c r="HE15" i="5"/>
  <c r="HF15" i="5"/>
  <c r="HG15" i="5"/>
  <c r="HH15" i="5"/>
  <c r="HI15" i="5"/>
  <c r="HJ15" i="5"/>
  <c r="HK15" i="5"/>
  <c r="HL15" i="5"/>
  <c r="HM15" i="5"/>
  <c r="HN15" i="5"/>
  <c r="HO15" i="5"/>
  <c r="HP15" i="5"/>
  <c r="HQ15" i="5"/>
  <c r="HR15" i="5"/>
  <c r="HS15" i="5"/>
  <c r="HT15" i="5"/>
  <c r="HU15" i="5"/>
  <c r="HV15" i="5"/>
  <c r="HW15" i="5"/>
  <c r="HX15" i="5"/>
  <c r="HY15" i="5"/>
  <c r="HZ15" i="5"/>
  <c r="IA15" i="5"/>
  <c r="IB15" i="5"/>
  <c r="IC15" i="5"/>
  <c r="ID15" i="5"/>
  <c r="IE15" i="5"/>
  <c r="IF15" i="5"/>
  <c r="IG15" i="5"/>
  <c r="IH15" i="5"/>
  <c r="II15" i="5"/>
  <c r="IJ15" i="5"/>
  <c r="IK15" i="5"/>
  <c r="IL15" i="5"/>
  <c r="IM15" i="5"/>
  <c r="IN15" i="5"/>
  <c r="IO15" i="5"/>
  <c r="IP15" i="5"/>
  <c r="IQ15" i="5"/>
  <c r="IR15" i="5"/>
  <c r="IS15" i="5"/>
  <c r="IT15" i="5"/>
  <c r="IU15" i="5"/>
  <c r="IV15" i="5"/>
  <c r="A14" i="5"/>
  <c r="B14"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BN14" i="5"/>
  <c r="BO14" i="5"/>
  <c r="BP14" i="5"/>
  <c r="BQ14" i="5"/>
  <c r="BR14" i="5"/>
  <c r="BS14" i="5"/>
  <c r="BT14" i="5"/>
  <c r="BU14" i="5"/>
  <c r="BV14" i="5"/>
  <c r="BW14" i="5"/>
  <c r="BX14" i="5"/>
  <c r="BY14" i="5"/>
  <c r="BZ14" i="5"/>
  <c r="CA14" i="5"/>
  <c r="CB14" i="5"/>
  <c r="CC14" i="5"/>
  <c r="CD14" i="5"/>
  <c r="CE14" i="5"/>
  <c r="CF14" i="5"/>
  <c r="CG14" i="5"/>
  <c r="CH14" i="5"/>
  <c r="CI14" i="5"/>
  <c r="CJ14" i="5"/>
  <c r="CK14" i="5"/>
  <c r="CL14" i="5"/>
  <c r="CM14" i="5"/>
  <c r="CN14" i="5"/>
  <c r="CO14" i="5"/>
  <c r="CP14" i="5"/>
  <c r="CQ14" i="5"/>
  <c r="CR14" i="5"/>
  <c r="CS14" i="5"/>
  <c r="CT14" i="5"/>
  <c r="CU14" i="5"/>
  <c r="CV14" i="5"/>
  <c r="CW14" i="5"/>
  <c r="CX14" i="5"/>
  <c r="CY14" i="5"/>
  <c r="CZ14" i="5"/>
  <c r="DA14" i="5"/>
  <c r="DB14" i="5"/>
  <c r="DC14" i="5"/>
  <c r="DD14" i="5"/>
  <c r="DE14" i="5"/>
  <c r="DF14" i="5"/>
  <c r="DG14" i="5"/>
  <c r="DH14" i="5"/>
  <c r="DI14" i="5"/>
  <c r="DJ14" i="5"/>
  <c r="DK14" i="5"/>
  <c r="DL14" i="5"/>
  <c r="DM14" i="5"/>
  <c r="DN14" i="5"/>
  <c r="DO14" i="5"/>
  <c r="DP14" i="5"/>
  <c r="DQ14" i="5"/>
  <c r="DR14" i="5"/>
  <c r="DS14" i="5"/>
  <c r="DT14" i="5"/>
  <c r="DU14" i="5"/>
  <c r="DV14" i="5"/>
  <c r="DW14" i="5"/>
  <c r="DX14" i="5"/>
  <c r="DY14" i="5"/>
  <c r="DZ14" i="5"/>
  <c r="EA14" i="5"/>
  <c r="EB14" i="5"/>
  <c r="EC14" i="5"/>
  <c r="ED14" i="5"/>
  <c r="EE14" i="5"/>
  <c r="EF14" i="5"/>
  <c r="EG14" i="5"/>
  <c r="EH14" i="5"/>
  <c r="EI14" i="5"/>
  <c r="EJ14" i="5"/>
  <c r="EK14" i="5"/>
  <c r="EL14" i="5"/>
  <c r="EM14" i="5"/>
  <c r="EN14" i="5"/>
  <c r="EO14" i="5"/>
  <c r="EP14" i="5"/>
  <c r="EQ14" i="5"/>
  <c r="ER14" i="5"/>
  <c r="ES14" i="5"/>
  <c r="ET14" i="5"/>
  <c r="EU14" i="5"/>
  <c r="EV14" i="5"/>
  <c r="EW14" i="5"/>
  <c r="EX14" i="5"/>
  <c r="EY14" i="5"/>
  <c r="EZ14" i="5"/>
  <c r="FA14" i="5"/>
  <c r="FB14" i="5"/>
  <c r="FC14" i="5"/>
  <c r="FD14" i="5"/>
  <c r="FE14" i="5"/>
  <c r="FF14" i="5"/>
  <c r="FG14" i="5"/>
  <c r="FH14" i="5"/>
  <c r="FI14" i="5"/>
  <c r="FJ14" i="5"/>
  <c r="FK14" i="5"/>
  <c r="FL14" i="5"/>
  <c r="FM14" i="5"/>
  <c r="FN14" i="5"/>
  <c r="FO14" i="5"/>
  <c r="FP14" i="5"/>
  <c r="FQ14" i="5"/>
  <c r="FR14" i="5"/>
  <c r="FS14" i="5"/>
  <c r="FT14" i="5"/>
  <c r="FU14" i="5"/>
  <c r="FV14" i="5"/>
  <c r="FW14" i="5"/>
  <c r="FX14" i="5"/>
  <c r="FY14" i="5"/>
  <c r="FZ14" i="5"/>
  <c r="GA14" i="5"/>
  <c r="GB14" i="5"/>
  <c r="GC14" i="5"/>
  <c r="GD14" i="5"/>
  <c r="GG14" i="5"/>
  <c r="GJ14" i="5"/>
  <c r="GK14" i="5"/>
  <c r="GL14" i="5"/>
  <c r="GM14" i="5"/>
  <c r="GN14" i="5"/>
  <c r="GO14" i="5"/>
  <c r="GP14" i="5"/>
  <c r="GQ14" i="5"/>
  <c r="GR14" i="5"/>
  <c r="GS14" i="5"/>
  <c r="GT14" i="5"/>
  <c r="GU14" i="5"/>
  <c r="GV14" i="5"/>
  <c r="GW14" i="5"/>
  <c r="GX14" i="5"/>
  <c r="GY14" i="5"/>
  <c r="GZ14" i="5"/>
  <c r="HA14" i="5"/>
  <c r="HB14" i="5"/>
  <c r="HC14" i="5"/>
  <c r="HD14" i="5"/>
  <c r="HE14" i="5"/>
  <c r="HF14" i="5"/>
  <c r="HG14" i="5"/>
  <c r="HH14" i="5"/>
  <c r="HI14" i="5"/>
  <c r="HJ14" i="5"/>
  <c r="HK14" i="5"/>
  <c r="HL14" i="5"/>
  <c r="HM14" i="5"/>
  <c r="HN14" i="5"/>
  <c r="HO14" i="5"/>
  <c r="HP14" i="5"/>
  <c r="HQ14" i="5"/>
  <c r="HR14" i="5"/>
  <c r="HS14" i="5"/>
  <c r="HT14" i="5"/>
  <c r="HU14" i="5"/>
  <c r="HV14" i="5"/>
  <c r="HW14" i="5"/>
  <c r="HX14" i="5"/>
  <c r="HY14" i="5"/>
  <c r="HZ14" i="5"/>
  <c r="IA14" i="5"/>
  <c r="IB14" i="5"/>
  <c r="IC14" i="5"/>
  <c r="ID14" i="5"/>
  <c r="IE14" i="5"/>
  <c r="IF14" i="5"/>
  <c r="IG14" i="5"/>
  <c r="IH14" i="5"/>
  <c r="II14" i="5"/>
  <c r="IJ14" i="5"/>
  <c r="IK14" i="5"/>
  <c r="IL14" i="5"/>
  <c r="IM14" i="5"/>
  <c r="IN14" i="5"/>
  <c r="IO14" i="5"/>
  <c r="IP14" i="5"/>
  <c r="IQ14" i="5"/>
  <c r="IR14" i="5"/>
  <c r="IS14" i="5"/>
  <c r="IT14" i="5"/>
  <c r="IU14" i="5"/>
  <c r="IV14" i="5"/>
  <c r="A13" i="5"/>
  <c r="B13"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BN13" i="5"/>
  <c r="BO13" i="5"/>
  <c r="BP13" i="5"/>
  <c r="BQ13" i="5"/>
  <c r="BR13" i="5"/>
  <c r="BS13" i="5"/>
  <c r="BT13" i="5"/>
  <c r="BU13" i="5"/>
  <c r="BV13" i="5"/>
  <c r="BW13" i="5"/>
  <c r="BX13" i="5"/>
  <c r="BY13" i="5"/>
  <c r="BZ13" i="5"/>
  <c r="CA13" i="5"/>
  <c r="CB13" i="5"/>
  <c r="CC13" i="5"/>
  <c r="CD13" i="5"/>
  <c r="CE13" i="5"/>
  <c r="CF13" i="5"/>
  <c r="CG13" i="5"/>
  <c r="CH13" i="5"/>
  <c r="CI13" i="5"/>
  <c r="CJ13" i="5"/>
  <c r="CK13" i="5"/>
  <c r="CL13" i="5"/>
  <c r="CM13" i="5"/>
  <c r="CN13" i="5"/>
  <c r="CO13" i="5"/>
  <c r="CP13" i="5"/>
  <c r="CQ13" i="5"/>
  <c r="CR13" i="5"/>
  <c r="CS13" i="5"/>
  <c r="CT13" i="5"/>
  <c r="CU13" i="5"/>
  <c r="CV13" i="5"/>
  <c r="CW13" i="5"/>
  <c r="CX13" i="5"/>
  <c r="CY13" i="5"/>
  <c r="CZ13" i="5"/>
  <c r="DA13" i="5"/>
  <c r="DB13" i="5"/>
  <c r="DC13" i="5"/>
  <c r="DD13" i="5"/>
  <c r="DE13" i="5"/>
  <c r="DF13" i="5"/>
  <c r="DG13" i="5"/>
  <c r="DH13" i="5"/>
  <c r="DI13" i="5"/>
  <c r="DJ13" i="5"/>
  <c r="DK13" i="5"/>
  <c r="DL13" i="5"/>
  <c r="DM13" i="5"/>
  <c r="DN13" i="5"/>
  <c r="DO13" i="5"/>
  <c r="DP13" i="5"/>
  <c r="DQ13" i="5"/>
  <c r="DR13" i="5"/>
  <c r="DS13" i="5"/>
  <c r="DT13" i="5"/>
  <c r="DU13" i="5"/>
  <c r="DV13" i="5"/>
  <c r="DW13" i="5"/>
  <c r="DX13" i="5"/>
  <c r="DY13" i="5"/>
  <c r="DZ13" i="5"/>
  <c r="EA13" i="5"/>
  <c r="EB13" i="5"/>
  <c r="EC13" i="5"/>
  <c r="ED13" i="5"/>
  <c r="EE13" i="5"/>
  <c r="EF13" i="5"/>
  <c r="EG13" i="5"/>
  <c r="EH13" i="5"/>
  <c r="EI13" i="5"/>
  <c r="EJ13" i="5"/>
  <c r="EK13" i="5"/>
  <c r="EL13" i="5"/>
  <c r="EM13" i="5"/>
  <c r="EN13" i="5"/>
  <c r="EO13" i="5"/>
  <c r="EP13" i="5"/>
  <c r="EQ13" i="5"/>
  <c r="ER13" i="5"/>
  <c r="ES13" i="5"/>
  <c r="ET13" i="5"/>
  <c r="EU13" i="5"/>
  <c r="EV13" i="5"/>
  <c r="EW13" i="5"/>
  <c r="EX13" i="5"/>
  <c r="EY13" i="5"/>
  <c r="EZ13" i="5"/>
  <c r="FA13" i="5"/>
  <c r="FB13" i="5"/>
  <c r="FC13" i="5"/>
  <c r="FD13" i="5"/>
  <c r="FE13" i="5"/>
  <c r="FF13" i="5"/>
  <c r="FG13" i="5"/>
  <c r="FH13" i="5"/>
  <c r="FI13" i="5"/>
  <c r="FJ13" i="5"/>
  <c r="FK13" i="5"/>
  <c r="FL13" i="5"/>
  <c r="FM13" i="5"/>
  <c r="FN13" i="5"/>
  <c r="FO13" i="5"/>
  <c r="FP13" i="5"/>
  <c r="FQ13" i="5"/>
  <c r="FR13" i="5"/>
  <c r="FS13" i="5"/>
  <c r="FT13" i="5"/>
  <c r="FU13" i="5"/>
  <c r="FV13" i="5"/>
  <c r="FW13" i="5"/>
  <c r="FX13" i="5"/>
  <c r="FY13" i="5"/>
  <c r="FZ13" i="5"/>
  <c r="GA13" i="5"/>
  <c r="GB13" i="5"/>
  <c r="GC13" i="5"/>
  <c r="GD13" i="5"/>
  <c r="GE13" i="5"/>
  <c r="GF13" i="5"/>
  <c r="GG13" i="5"/>
  <c r="GH13" i="5"/>
  <c r="GI13" i="5"/>
  <c r="GJ13" i="5"/>
  <c r="GK13" i="5"/>
  <c r="GL13" i="5"/>
  <c r="GM13" i="5"/>
  <c r="GN13" i="5"/>
  <c r="GO13" i="5"/>
  <c r="GP13" i="5"/>
  <c r="GQ13" i="5"/>
  <c r="GR13" i="5"/>
  <c r="GS13" i="5"/>
  <c r="GT13" i="5"/>
  <c r="GU13" i="5"/>
  <c r="GV13" i="5"/>
  <c r="GW13" i="5"/>
  <c r="GX13" i="5"/>
  <c r="GY13" i="5"/>
  <c r="GZ13" i="5"/>
  <c r="HA13" i="5"/>
  <c r="HB13" i="5"/>
  <c r="HC13" i="5"/>
  <c r="HD13" i="5"/>
  <c r="HE13" i="5"/>
  <c r="HF13" i="5"/>
  <c r="HG13" i="5"/>
  <c r="HH13" i="5"/>
  <c r="HI13" i="5"/>
  <c r="HJ13" i="5"/>
  <c r="HK13" i="5"/>
  <c r="HL13" i="5"/>
  <c r="HM13" i="5"/>
  <c r="HN13" i="5"/>
  <c r="HO13" i="5"/>
  <c r="HP13" i="5"/>
  <c r="HQ13" i="5"/>
  <c r="HR13" i="5"/>
  <c r="HS13" i="5"/>
  <c r="HT13" i="5"/>
  <c r="HU13" i="5"/>
  <c r="HV13" i="5"/>
  <c r="HW13" i="5"/>
  <c r="HX13" i="5"/>
  <c r="HY13" i="5"/>
  <c r="HZ13" i="5"/>
  <c r="IA13" i="5"/>
  <c r="IB13" i="5"/>
  <c r="IC13" i="5"/>
  <c r="ID13" i="5"/>
  <c r="IE13" i="5"/>
  <c r="IF13" i="5"/>
  <c r="IG13" i="5"/>
  <c r="IH13" i="5"/>
  <c r="II13" i="5"/>
  <c r="IJ13" i="5"/>
  <c r="IK13" i="5"/>
  <c r="IL13" i="5"/>
  <c r="IM13" i="5"/>
  <c r="IN13" i="5"/>
  <c r="IO13" i="5"/>
  <c r="IP13" i="5"/>
  <c r="IQ13" i="5"/>
  <c r="IR13" i="5"/>
  <c r="IS13" i="5"/>
  <c r="IT13" i="5"/>
  <c r="IU13" i="5"/>
  <c r="IV13" i="5"/>
  <c r="A12" i="5"/>
  <c r="B12" i="5"/>
  <c r="C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O12" i="5"/>
  <c r="BP12" i="5"/>
  <c r="BQ12" i="5"/>
  <c r="BR12" i="5"/>
  <c r="BS12" i="5"/>
  <c r="BT12" i="5"/>
  <c r="BU12" i="5"/>
  <c r="BV12" i="5"/>
  <c r="BW12" i="5"/>
  <c r="BX12" i="5"/>
  <c r="BY12" i="5"/>
  <c r="BZ12" i="5"/>
  <c r="CA12" i="5"/>
  <c r="CB12" i="5"/>
  <c r="CC12" i="5"/>
  <c r="CD12" i="5"/>
  <c r="CE12" i="5"/>
  <c r="CF12" i="5"/>
  <c r="CG12" i="5"/>
  <c r="CH12" i="5"/>
  <c r="CI12" i="5"/>
  <c r="CJ12" i="5"/>
  <c r="CK12" i="5"/>
  <c r="CL12" i="5"/>
  <c r="CM12" i="5"/>
  <c r="CN12" i="5"/>
  <c r="CO12" i="5"/>
  <c r="CP12" i="5"/>
  <c r="CQ12" i="5"/>
  <c r="CR12" i="5"/>
  <c r="CS12" i="5"/>
  <c r="CT12" i="5"/>
  <c r="CU12" i="5"/>
  <c r="CV12" i="5"/>
  <c r="CW12" i="5"/>
  <c r="CX12" i="5"/>
  <c r="CY12" i="5"/>
  <c r="CZ12" i="5"/>
  <c r="DA12" i="5"/>
  <c r="DB12" i="5"/>
  <c r="DC12" i="5"/>
  <c r="DD12" i="5"/>
  <c r="DE12" i="5"/>
  <c r="DF12" i="5"/>
  <c r="DG12" i="5"/>
  <c r="DH12" i="5"/>
  <c r="DI12" i="5"/>
  <c r="DJ12" i="5"/>
  <c r="DK12" i="5"/>
  <c r="DL12" i="5"/>
  <c r="DM12" i="5"/>
  <c r="DN12" i="5"/>
  <c r="DO12" i="5"/>
  <c r="DP12" i="5"/>
  <c r="DQ12" i="5"/>
  <c r="DR12" i="5"/>
  <c r="DS12" i="5"/>
  <c r="DT12" i="5"/>
  <c r="DU12" i="5"/>
  <c r="DV12" i="5"/>
  <c r="DW12" i="5"/>
  <c r="DX12" i="5"/>
  <c r="DY12" i="5"/>
  <c r="DZ12" i="5"/>
  <c r="EA12" i="5"/>
  <c r="EB12" i="5"/>
  <c r="EC12" i="5"/>
  <c r="ED12" i="5"/>
  <c r="EE12" i="5"/>
  <c r="EF12" i="5"/>
  <c r="EG12" i="5"/>
  <c r="EH12" i="5"/>
  <c r="EI12" i="5"/>
  <c r="EJ12" i="5"/>
  <c r="EK12" i="5"/>
  <c r="EL12" i="5"/>
  <c r="EM12" i="5"/>
  <c r="EN12" i="5"/>
  <c r="EO12" i="5"/>
  <c r="EP12" i="5"/>
  <c r="EQ12" i="5"/>
  <c r="ER12" i="5"/>
  <c r="ES12" i="5"/>
  <c r="ET12" i="5"/>
  <c r="EU12" i="5"/>
  <c r="EV12" i="5"/>
  <c r="EW12" i="5"/>
  <c r="EX12" i="5"/>
  <c r="EY12" i="5"/>
  <c r="EZ12" i="5"/>
  <c r="FA12" i="5"/>
  <c r="FB12" i="5"/>
  <c r="FC12" i="5"/>
  <c r="FD12" i="5"/>
  <c r="FE12" i="5"/>
  <c r="FF12" i="5"/>
  <c r="FG12" i="5"/>
  <c r="FH12" i="5"/>
  <c r="FI12" i="5"/>
  <c r="FJ12" i="5"/>
  <c r="FK12" i="5"/>
  <c r="FL12" i="5"/>
  <c r="FM12" i="5"/>
  <c r="FN12" i="5"/>
  <c r="FO12" i="5"/>
  <c r="FP12" i="5"/>
  <c r="FQ12" i="5"/>
  <c r="FR12" i="5"/>
  <c r="FS12" i="5"/>
  <c r="FT12" i="5"/>
  <c r="FU12" i="5"/>
  <c r="FV12" i="5"/>
  <c r="FW12" i="5"/>
  <c r="FX12" i="5"/>
  <c r="FY12" i="5"/>
  <c r="FZ12" i="5"/>
  <c r="GA12" i="5"/>
  <c r="GB12" i="5"/>
  <c r="GC12" i="5"/>
  <c r="GD12" i="5"/>
  <c r="GE12" i="5"/>
  <c r="GF12" i="5"/>
  <c r="GG12" i="5"/>
  <c r="GH12" i="5"/>
  <c r="GI12" i="5"/>
  <c r="GJ12" i="5"/>
  <c r="GK12" i="5"/>
  <c r="GL12" i="5"/>
  <c r="GM12" i="5"/>
  <c r="GN12" i="5"/>
  <c r="GO12" i="5"/>
  <c r="GP12" i="5"/>
  <c r="GQ12" i="5"/>
  <c r="GR12" i="5"/>
  <c r="GS12" i="5"/>
  <c r="GT12" i="5"/>
  <c r="GU12" i="5"/>
  <c r="GV12" i="5"/>
  <c r="GW12" i="5"/>
  <c r="GX12" i="5"/>
  <c r="GY12" i="5"/>
  <c r="GZ12" i="5"/>
  <c r="HA12" i="5"/>
  <c r="HB12" i="5"/>
  <c r="HC12" i="5"/>
  <c r="HD12" i="5"/>
  <c r="HE12" i="5"/>
  <c r="HF12" i="5"/>
  <c r="HG12" i="5"/>
  <c r="HH12" i="5"/>
  <c r="HI12" i="5"/>
  <c r="HJ12" i="5"/>
  <c r="HK12" i="5"/>
  <c r="HL12" i="5"/>
  <c r="HM12" i="5"/>
  <c r="HN12" i="5"/>
  <c r="HO12" i="5"/>
  <c r="HP12" i="5"/>
  <c r="HQ12" i="5"/>
  <c r="HR12" i="5"/>
  <c r="HS12" i="5"/>
  <c r="HT12" i="5"/>
  <c r="HU12" i="5"/>
  <c r="HV12" i="5"/>
  <c r="HW12" i="5"/>
  <c r="HX12" i="5"/>
  <c r="HY12" i="5"/>
  <c r="HZ12" i="5"/>
  <c r="IA12" i="5"/>
  <c r="IB12" i="5"/>
  <c r="IC12" i="5"/>
  <c r="ID12" i="5"/>
  <c r="IE12" i="5"/>
  <c r="IF12" i="5"/>
  <c r="IG12" i="5"/>
  <c r="IH12" i="5"/>
  <c r="II12" i="5"/>
  <c r="IJ12" i="5"/>
  <c r="IK12" i="5"/>
  <c r="IL12" i="5"/>
  <c r="IM12" i="5"/>
  <c r="IN12" i="5"/>
  <c r="IO12" i="5"/>
  <c r="IP12" i="5"/>
  <c r="IQ12" i="5"/>
  <c r="IR12" i="5"/>
  <c r="IS12" i="5"/>
  <c r="IT12" i="5"/>
  <c r="IU12" i="5"/>
  <c r="IV12" i="5"/>
  <c r="A11" i="5"/>
  <c r="B11" i="5"/>
  <c r="C11" i="5"/>
  <c r="D11" i="5"/>
  <c r="E11" i="5"/>
  <c r="F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BN11" i="5"/>
  <c r="BO11" i="5"/>
  <c r="BP11" i="5"/>
  <c r="BQ11" i="5"/>
  <c r="BR11" i="5"/>
  <c r="BS11" i="5"/>
  <c r="BT11" i="5"/>
  <c r="BU11" i="5"/>
  <c r="BV11" i="5"/>
  <c r="BW11" i="5"/>
  <c r="BX11" i="5"/>
  <c r="BY11" i="5"/>
  <c r="BZ11" i="5"/>
  <c r="CA11" i="5"/>
  <c r="CB11" i="5"/>
  <c r="CC11" i="5"/>
  <c r="CD11" i="5"/>
  <c r="CE11" i="5"/>
  <c r="CF11" i="5"/>
  <c r="CG11" i="5"/>
  <c r="CH11" i="5"/>
  <c r="CI11" i="5"/>
  <c r="CJ11" i="5"/>
  <c r="CK11" i="5"/>
  <c r="CL11" i="5"/>
  <c r="CM11" i="5"/>
  <c r="CN11" i="5"/>
  <c r="CO11" i="5"/>
  <c r="CP11" i="5"/>
  <c r="CQ11" i="5"/>
  <c r="CR11" i="5"/>
  <c r="CS11" i="5"/>
  <c r="CT11" i="5"/>
  <c r="CU11" i="5"/>
  <c r="CV11" i="5"/>
  <c r="CW11" i="5"/>
  <c r="CX11" i="5"/>
  <c r="CY11" i="5"/>
  <c r="CZ11" i="5"/>
  <c r="DA11" i="5"/>
  <c r="DB11" i="5"/>
  <c r="DC11" i="5"/>
  <c r="DD11" i="5"/>
  <c r="DE11" i="5"/>
  <c r="DF11" i="5"/>
  <c r="DG11" i="5"/>
  <c r="DH11" i="5"/>
  <c r="DI11" i="5"/>
  <c r="DJ11" i="5"/>
  <c r="DK11" i="5"/>
  <c r="DL11" i="5"/>
  <c r="DM11" i="5"/>
  <c r="DN11" i="5"/>
  <c r="DO11" i="5"/>
  <c r="DP11" i="5"/>
  <c r="DQ11" i="5"/>
  <c r="DR11" i="5"/>
  <c r="DS11" i="5"/>
  <c r="DT11" i="5"/>
  <c r="DU11" i="5"/>
  <c r="DV11" i="5"/>
  <c r="DW11" i="5"/>
  <c r="DX11" i="5"/>
  <c r="DY11" i="5"/>
  <c r="DZ11" i="5"/>
  <c r="EA11" i="5"/>
  <c r="EB11" i="5"/>
  <c r="EC11" i="5"/>
  <c r="ED11" i="5"/>
  <c r="EE11" i="5"/>
  <c r="EF11" i="5"/>
  <c r="EG11" i="5"/>
  <c r="EH11" i="5"/>
  <c r="EI11" i="5"/>
  <c r="EJ11" i="5"/>
  <c r="EK11" i="5"/>
  <c r="EL11" i="5"/>
  <c r="EM11" i="5"/>
  <c r="EN11" i="5"/>
  <c r="EO11" i="5"/>
  <c r="EP11" i="5"/>
  <c r="EQ11" i="5"/>
  <c r="ER11" i="5"/>
  <c r="ES11" i="5"/>
  <c r="ET11" i="5"/>
  <c r="EU11" i="5"/>
  <c r="EV11" i="5"/>
  <c r="EW11" i="5"/>
  <c r="EX11" i="5"/>
  <c r="EY11" i="5"/>
  <c r="EZ11" i="5"/>
  <c r="FA11" i="5"/>
  <c r="FB11" i="5"/>
  <c r="FC11" i="5"/>
  <c r="FD11" i="5"/>
  <c r="FE11" i="5"/>
  <c r="FF11" i="5"/>
  <c r="FG11" i="5"/>
  <c r="FH11" i="5"/>
  <c r="FI11" i="5"/>
  <c r="FJ11" i="5"/>
  <c r="FK11" i="5"/>
  <c r="FL11" i="5"/>
  <c r="FM11" i="5"/>
  <c r="FN11" i="5"/>
  <c r="FO11" i="5"/>
  <c r="FP11" i="5"/>
  <c r="FQ11" i="5"/>
  <c r="FR11" i="5"/>
  <c r="FS11" i="5"/>
  <c r="FT11" i="5"/>
  <c r="FU11" i="5"/>
  <c r="FV11" i="5"/>
  <c r="FW11" i="5"/>
  <c r="FX11" i="5"/>
  <c r="FY11" i="5"/>
  <c r="FZ11" i="5"/>
  <c r="GA11" i="5"/>
  <c r="GB11" i="5"/>
  <c r="GC11" i="5"/>
  <c r="GD11" i="5"/>
  <c r="GE11" i="5"/>
  <c r="GF11" i="5"/>
  <c r="GG11" i="5"/>
  <c r="GH11" i="5"/>
  <c r="GI11" i="5"/>
  <c r="GJ11" i="5"/>
  <c r="GK11" i="5"/>
  <c r="GL11" i="5"/>
  <c r="GM11" i="5"/>
  <c r="GN11" i="5"/>
  <c r="GO11" i="5"/>
  <c r="GP11" i="5"/>
  <c r="GQ11" i="5"/>
  <c r="GR11" i="5"/>
  <c r="GS11" i="5"/>
  <c r="GT11" i="5"/>
  <c r="GU11" i="5"/>
  <c r="GV11" i="5"/>
  <c r="GW11" i="5"/>
  <c r="GX11" i="5"/>
  <c r="GY11" i="5"/>
  <c r="GZ11" i="5"/>
  <c r="HA11" i="5"/>
  <c r="HB11" i="5"/>
  <c r="HC11" i="5"/>
  <c r="HD11" i="5"/>
  <c r="HE11" i="5"/>
  <c r="HF11" i="5"/>
  <c r="HG11" i="5"/>
  <c r="HH11" i="5"/>
  <c r="HI11" i="5"/>
  <c r="HJ11" i="5"/>
  <c r="HK11" i="5"/>
  <c r="HL11" i="5"/>
  <c r="HM11" i="5"/>
  <c r="HN11" i="5"/>
  <c r="HO11" i="5"/>
  <c r="HP11" i="5"/>
  <c r="HQ11" i="5"/>
  <c r="HR11" i="5"/>
  <c r="HS11" i="5"/>
  <c r="HT11" i="5"/>
  <c r="HU11" i="5"/>
  <c r="HV11" i="5"/>
  <c r="HW11" i="5"/>
  <c r="HX11" i="5"/>
  <c r="HY11" i="5"/>
  <c r="HZ11" i="5"/>
  <c r="IA11" i="5"/>
  <c r="IB11" i="5"/>
  <c r="IC11" i="5"/>
  <c r="ID11" i="5"/>
  <c r="IE11" i="5"/>
  <c r="IF11" i="5"/>
  <c r="IG11" i="5"/>
  <c r="IH11" i="5"/>
  <c r="II11" i="5"/>
  <c r="IJ11" i="5"/>
  <c r="IK11" i="5"/>
  <c r="IL11" i="5"/>
  <c r="IM11" i="5"/>
  <c r="IN11" i="5"/>
  <c r="IO11" i="5"/>
  <c r="IP11" i="5"/>
  <c r="IQ11" i="5"/>
  <c r="IR11" i="5"/>
  <c r="IS11" i="5"/>
  <c r="IT11" i="5"/>
  <c r="IU11" i="5"/>
  <c r="IV11" i="5"/>
  <c r="A10" i="5"/>
  <c r="B10" i="5"/>
  <c r="C10" i="5"/>
  <c r="D10" i="5"/>
  <c r="G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O10" i="5"/>
  <c r="BP10" i="5"/>
  <c r="BQ10" i="5"/>
  <c r="BR10" i="5"/>
  <c r="BS10" i="5"/>
  <c r="BT10" i="5"/>
  <c r="BU10" i="5"/>
  <c r="BV10" i="5"/>
  <c r="BW10" i="5"/>
  <c r="BX10" i="5"/>
  <c r="BY10" i="5"/>
  <c r="BZ10" i="5"/>
  <c r="CA10" i="5"/>
  <c r="CB10" i="5"/>
  <c r="CC10" i="5"/>
  <c r="CD10" i="5"/>
  <c r="CE10" i="5"/>
  <c r="CF10" i="5"/>
  <c r="CG10" i="5"/>
  <c r="CH10" i="5"/>
  <c r="CI10" i="5"/>
  <c r="CJ10" i="5"/>
  <c r="CK10" i="5"/>
  <c r="CL10" i="5"/>
  <c r="CM10" i="5"/>
  <c r="CN10" i="5"/>
  <c r="CO10" i="5"/>
  <c r="CP10" i="5"/>
  <c r="CQ10" i="5"/>
  <c r="CR10" i="5"/>
  <c r="CS10" i="5"/>
  <c r="CT10" i="5"/>
  <c r="CU10" i="5"/>
  <c r="CV10" i="5"/>
  <c r="CW10" i="5"/>
  <c r="CX10" i="5"/>
  <c r="CY10" i="5"/>
  <c r="CZ10" i="5"/>
  <c r="DA10" i="5"/>
  <c r="DB10" i="5"/>
  <c r="DC10" i="5"/>
  <c r="DD10" i="5"/>
  <c r="DE10" i="5"/>
  <c r="DF10" i="5"/>
  <c r="DG10" i="5"/>
  <c r="DH10" i="5"/>
  <c r="DI10" i="5"/>
  <c r="DJ10" i="5"/>
  <c r="DK10" i="5"/>
  <c r="DL10" i="5"/>
  <c r="DM10" i="5"/>
  <c r="DN10" i="5"/>
  <c r="DO10" i="5"/>
  <c r="DP10" i="5"/>
  <c r="DQ10" i="5"/>
  <c r="DR10" i="5"/>
  <c r="DS10" i="5"/>
  <c r="DT10" i="5"/>
  <c r="DU10" i="5"/>
  <c r="DV10" i="5"/>
  <c r="DW10" i="5"/>
  <c r="DX10" i="5"/>
  <c r="DY10" i="5"/>
  <c r="DZ10" i="5"/>
  <c r="EA10" i="5"/>
  <c r="EB10" i="5"/>
  <c r="EC10" i="5"/>
  <c r="ED10" i="5"/>
  <c r="EE10" i="5"/>
  <c r="EF10" i="5"/>
  <c r="EG10" i="5"/>
  <c r="EH10" i="5"/>
  <c r="EI10" i="5"/>
  <c r="EJ10" i="5"/>
  <c r="EK10" i="5"/>
  <c r="EL10" i="5"/>
  <c r="EM10" i="5"/>
  <c r="EN10" i="5"/>
  <c r="EO10" i="5"/>
  <c r="EP10" i="5"/>
  <c r="EQ10" i="5"/>
  <c r="ER10" i="5"/>
  <c r="ES10" i="5"/>
  <c r="ET10" i="5"/>
  <c r="EU10" i="5"/>
  <c r="EV10" i="5"/>
  <c r="EW10" i="5"/>
  <c r="EX10" i="5"/>
  <c r="EY10" i="5"/>
  <c r="EZ10" i="5"/>
  <c r="FA10" i="5"/>
  <c r="FB10" i="5"/>
  <c r="FC10" i="5"/>
  <c r="FD10" i="5"/>
  <c r="FE10" i="5"/>
  <c r="FF10" i="5"/>
  <c r="FG10" i="5"/>
  <c r="FH10" i="5"/>
  <c r="FI10" i="5"/>
  <c r="FJ10" i="5"/>
  <c r="FK10" i="5"/>
  <c r="FL10" i="5"/>
  <c r="FM10" i="5"/>
  <c r="FN10" i="5"/>
  <c r="FO10" i="5"/>
  <c r="FP10" i="5"/>
  <c r="FQ10" i="5"/>
  <c r="FR10" i="5"/>
  <c r="FS10" i="5"/>
  <c r="FT10" i="5"/>
  <c r="FU10" i="5"/>
  <c r="FV10" i="5"/>
  <c r="FW10" i="5"/>
  <c r="FX10" i="5"/>
  <c r="FY10" i="5"/>
  <c r="FZ10" i="5"/>
  <c r="GA10" i="5"/>
  <c r="GB10" i="5"/>
  <c r="GC10" i="5"/>
  <c r="GD10" i="5"/>
  <c r="GE10" i="5"/>
  <c r="GF10" i="5"/>
  <c r="GG10" i="5"/>
  <c r="GH10" i="5"/>
  <c r="GI10" i="5"/>
  <c r="GJ10" i="5"/>
  <c r="GK10" i="5"/>
  <c r="GL10" i="5"/>
  <c r="GM10" i="5"/>
  <c r="GN10" i="5"/>
  <c r="GO10" i="5"/>
  <c r="GP10" i="5"/>
  <c r="GQ10" i="5"/>
  <c r="GR10" i="5"/>
  <c r="GS10" i="5"/>
  <c r="GT10" i="5"/>
  <c r="GU10" i="5"/>
  <c r="GV10" i="5"/>
  <c r="GW10" i="5"/>
  <c r="GX10" i="5"/>
  <c r="GY10" i="5"/>
  <c r="GZ10" i="5"/>
  <c r="HA10" i="5"/>
  <c r="HB10" i="5"/>
  <c r="HC10" i="5"/>
  <c r="HD10" i="5"/>
  <c r="HE10" i="5"/>
  <c r="HF10" i="5"/>
  <c r="HG10" i="5"/>
  <c r="HH10" i="5"/>
  <c r="HI10" i="5"/>
  <c r="HJ10" i="5"/>
  <c r="HK10" i="5"/>
  <c r="HL10" i="5"/>
  <c r="HM10" i="5"/>
  <c r="HN10" i="5"/>
  <c r="HO10" i="5"/>
  <c r="HP10" i="5"/>
  <c r="HQ10" i="5"/>
  <c r="HR10" i="5"/>
  <c r="HS10" i="5"/>
  <c r="HT10" i="5"/>
  <c r="HU10" i="5"/>
  <c r="HV10" i="5"/>
  <c r="HW10" i="5"/>
  <c r="HX10" i="5"/>
  <c r="HY10" i="5"/>
  <c r="HZ10" i="5"/>
  <c r="IA10" i="5"/>
  <c r="IB10" i="5"/>
  <c r="IC10" i="5"/>
  <c r="ID10" i="5"/>
  <c r="IE10" i="5"/>
  <c r="IF10" i="5"/>
  <c r="IG10" i="5"/>
  <c r="IH10" i="5"/>
  <c r="II10" i="5"/>
  <c r="IJ10" i="5"/>
  <c r="IK10" i="5"/>
  <c r="IL10" i="5"/>
  <c r="IM10" i="5"/>
  <c r="IN10" i="5"/>
  <c r="IO10" i="5"/>
  <c r="IP10" i="5"/>
  <c r="IQ10" i="5"/>
  <c r="IR10" i="5"/>
  <c r="IS10" i="5"/>
  <c r="IT10" i="5"/>
  <c r="IU10" i="5"/>
  <c r="IV10" i="5"/>
  <c r="A9" i="5"/>
  <c r="B9" i="5"/>
  <c r="C9" i="5"/>
  <c r="D9" i="5"/>
  <c r="E9" i="5"/>
  <c r="F9" i="5"/>
  <c r="G9" i="5"/>
  <c r="H9" i="5"/>
  <c r="I9" i="5"/>
  <c r="J9" i="5"/>
  <c r="K9" i="5"/>
  <c r="L9" i="5"/>
  <c r="M9" i="5"/>
  <c r="N9" i="5"/>
  <c r="O9" i="5"/>
  <c r="P9" i="5"/>
  <c r="Q9" i="5"/>
  <c r="R9" i="5"/>
  <c r="S9" i="5"/>
  <c r="T9" i="5"/>
  <c r="U9" i="5"/>
  <c r="V9" i="5"/>
  <c r="W9" i="5"/>
  <c r="X9" i="5"/>
  <c r="Y9" i="5"/>
  <c r="Z9" i="5"/>
  <c r="AA9" i="5"/>
  <c r="AB9" i="5"/>
  <c r="AC9" i="5"/>
  <c r="AD9" i="5"/>
  <c r="AE9" i="5"/>
  <c r="AF9" i="5"/>
  <c r="AG9" i="5"/>
  <c r="AH9" i="5"/>
  <c r="AI9"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BN9" i="5"/>
  <c r="BO9" i="5"/>
  <c r="BP9" i="5"/>
  <c r="BQ9" i="5"/>
  <c r="BR9" i="5"/>
  <c r="BS9" i="5"/>
  <c r="BT9" i="5"/>
  <c r="BU9" i="5"/>
  <c r="BV9" i="5"/>
  <c r="BW9" i="5"/>
  <c r="BX9" i="5"/>
  <c r="BY9" i="5"/>
  <c r="BZ9" i="5"/>
  <c r="CA9" i="5"/>
  <c r="CB9" i="5"/>
  <c r="CC9" i="5"/>
  <c r="CD9" i="5"/>
  <c r="CE9" i="5"/>
  <c r="CF9" i="5"/>
  <c r="CG9" i="5"/>
  <c r="CH9" i="5"/>
  <c r="CI9" i="5"/>
  <c r="CJ9" i="5"/>
  <c r="CK9" i="5"/>
  <c r="CL9" i="5"/>
  <c r="CM9" i="5"/>
  <c r="CN9" i="5"/>
  <c r="CO9" i="5"/>
  <c r="CP9" i="5"/>
  <c r="CQ9" i="5"/>
  <c r="CR9" i="5"/>
  <c r="CS9" i="5"/>
  <c r="CT9" i="5"/>
  <c r="CU9" i="5"/>
  <c r="CV9" i="5"/>
  <c r="CW9" i="5"/>
  <c r="CX9" i="5"/>
  <c r="CY9" i="5"/>
  <c r="CZ9" i="5"/>
  <c r="DA9" i="5"/>
  <c r="DB9" i="5"/>
  <c r="DC9" i="5"/>
  <c r="DD9" i="5"/>
  <c r="DE9" i="5"/>
  <c r="DF9" i="5"/>
  <c r="DG9" i="5"/>
  <c r="DH9" i="5"/>
  <c r="DI9" i="5"/>
  <c r="DJ9" i="5"/>
  <c r="DK9" i="5"/>
  <c r="DL9" i="5"/>
  <c r="DM9" i="5"/>
  <c r="DN9" i="5"/>
  <c r="DO9" i="5"/>
  <c r="DP9" i="5"/>
  <c r="DQ9" i="5"/>
  <c r="DR9" i="5"/>
  <c r="DS9" i="5"/>
  <c r="DT9" i="5"/>
  <c r="DU9" i="5"/>
  <c r="DV9" i="5"/>
  <c r="DW9" i="5"/>
  <c r="DX9" i="5"/>
  <c r="DY9" i="5"/>
  <c r="DZ9" i="5"/>
  <c r="EA9" i="5"/>
  <c r="EB9" i="5"/>
  <c r="EC9" i="5"/>
  <c r="ED9" i="5"/>
  <c r="EE9" i="5"/>
  <c r="EF9" i="5"/>
  <c r="EG9" i="5"/>
  <c r="EH9" i="5"/>
  <c r="EI9" i="5"/>
  <c r="EJ9" i="5"/>
  <c r="EK9" i="5"/>
  <c r="EL9" i="5"/>
  <c r="EM9" i="5"/>
  <c r="EN9" i="5"/>
  <c r="EO9" i="5"/>
  <c r="EP9" i="5"/>
  <c r="EQ9" i="5"/>
  <c r="ER9" i="5"/>
  <c r="ES9" i="5"/>
  <c r="ET9" i="5"/>
  <c r="EU9" i="5"/>
  <c r="EV9" i="5"/>
  <c r="EW9" i="5"/>
  <c r="EX9" i="5"/>
  <c r="EY9" i="5"/>
  <c r="EZ9" i="5"/>
  <c r="FA9" i="5"/>
  <c r="FB9" i="5"/>
  <c r="FC9" i="5"/>
  <c r="FD9" i="5"/>
  <c r="FE9" i="5"/>
  <c r="FF9" i="5"/>
  <c r="FG9" i="5"/>
  <c r="FH9" i="5"/>
  <c r="FI9" i="5"/>
  <c r="FJ9" i="5"/>
  <c r="FK9" i="5"/>
  <c r="FL9" i="5"/>
  <c r="FM9" i="5"/>
  <c r="FN9" i="5"/>
  <c r="FO9" i="5"/>
  <c r="FP9" i="5"/>
  <c r="FQ9" i="5"/>
  <c r="FR9" i="5"/>
  <c r="FS9" i="5"/>
  <c r="FT9" i="5"/>
  <c r="FU9" i="5"/>
  <c r="FV9" i="5"/>
  <c r="FW9" i="5"/>
  <c r="FX9" i="5"/>
  <c r="FY9" i="5"/>
  <c r="FZ9" i="5"/>
  <c r="GA9" i="5"/>
  <c r="GB9" i="5"/>
  <c r="GC9" i="5"/>
  <c r="GD9" i="5"/>
  <c r="GE9" i="5"/>
  <c r="GF9" i="5"/>
  <c r="GG9" i="5"/>
  <c r="GH9" i="5"/>
  <c r="GI9" i="5"/>
  <c r="GJ9" i="5"/>
  <c r="GK9" i="5"/>
  <c r="GL9" i="5"/>
  <c r="GM9" i="5"/>
  <c r="GN9" i="5"/>
  <c r="GO9" i="5"/>
  <c r="GP9" i="5"/>
  <c r="GQ9" i="5"/>
  <c r="GR9" i="5"/>
  <c r="GS9" i="5"/>
  <c r="GT9" i="5"/>
  <c r="GU9" i="5"/>
  <c r="GV9" i="5"/>
  <c r="GW9" i="5"/>
  <c r="GX9" i="5"/>
  <c r="GY9" i="5"/>
  <c r="GZ9" i="5"/>
  <c r="HA9" i="5"/>
  <c r="HB9" i="5"/>
  <c r="HC9" i="5"/>
  <c r="HD9" i="5"/>
  <c r="HE9" i="5"/>
  <c r="HF9" i="5"/>
  <c r="HG9" i="5"/>
  <c r="HH9" i="5"/>
  <c r="HI9" i="5"/>
  <c r="HJ9" i="5"/>
  <c r="HK9" i="5"/>
  <c r="HL9" i="5"/>
  <c r="HM9" i="5"/>
  <c r="HN9" i="5"/>
  <c r="HO9" i="5"/>
  <c r="HP9" i="5"/>
  <c r="HQ9" i="5"/>
  <c r="HR9" i="5"/>
  <c r="HS9" i="5"/>
  <c r="HT9" i="5"/>
  <c r="HU9" i="5"/>
  <c r="HV9" i="5"/>
  <c r="HW9" i="5"/>
  <c r="HX9" i="5"/>
  <c r="HY9" i="5"/>
  <c r="HZ9" i="5"/>
  <c r="IA9" i="5"/>
  <c r="IB9" i="5"/>
  <c r="IC9" i="5"/>
  <c r="ID9" i="5"/>
  <c r="IE9" i="5"/>
  <c r="IF9" i="5"/>
  <c r="IG9" i="5"/>
  <c r="IH9" i="5"/>
  <c r="II9" i="5"/>
  <c r="IJ9" i="5"/>
  <c r="IK9" i="5"/>
  <c r="IL9" i="5"/>
  <c r="IM9" i="5"/>
  <c r="IN9" i="5"/>
  <c r="IO9" i="5"/>
  <c r="IP9" i="5"/>
  <c r="IQ9" i="5"/>
  <c r="IR9" i="5"/>
  <c r="IS9" i="5"/>
  <c r="IT9" i="5"/>
  <c r="IU9" i="5"/>
  <c r="IV9" i="5"/>
  <c r="A8" i="5"/>
  <c r="B8"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H8" i="5"/>
  <c r="AI8"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BN8" i="5"/>
  <c r="BO8" i="5"/>
  <c r="BP8" i="5"/>
  <c r="BQ8" i="5"/>
  <c r="BR8" i="5"/>
  <c r="BS8" i="5"/>
  <c r="BT8" i="5"/>
  <c r="BU8" i="5"/>
  <c r="BV8" i="5"/>
  <c r="BW8" i="5"/>
  <c r="BX8" i="5"/>
  <c r="BY8" i="5"/>
  <c r="BZ8" i="5"/>
  <c r="CA8" i="5"/>
  <c r="CB8" i="5"/>
  <c r="CC8" i="5"/>
  <c r="CD8" i="5"/>
  <c r="CE8" i="5"/>
  <c r="CF8" i="5"/>
  <c r="CG8" i="5"/>
  <c r="CH8" i="5"/>
  <c r="CI8" i="5"/>
  <c r="CJ8" i="5"/>
  <c r="CK8" i="5"/>
  <c r="CL8" i="5"/>
  <c r="CM8" i="5"/>
  <c r="CN8" i="5"/>
  <c r="CO8" i="5"/>
  <c r="CP8" i="5"/>
  <c r="CQ8" i="5"/>
  <c r="CR8" i="5"/>
  <c r="CS8" i="5"/>
  <c r="CT8" i="5"/>
  <c r="CU8" i="5"/>
  <c r="CV8" i="5"/>
  <c r="CW8" i="5"/>
  <c r="CX8" i="5"/>
  <c r="CY8" i="5"/>
  <c r="CZ8" i="5"/>
  <c r="DA8" i="5"/>
  <c r="DB8" i="5"/>
  <c r="DC8" i="5"/>
  <c r="DD8" i="5"/>
  <c r="DE8" i="5"/>
  <c r="DF8" i="5"/>
  <c r="DG8" i="5"/>
  <c r="DH8" i="5"/>
  <c r="DI8" i="5"/>
  <c r="DJ8" i="5"/>
  <c r="DK8" i="5"/>
  <c r="DL8" i="5"/>
  <c r="DM8" i="5"/>
  <c r="DN8" i="5"/>
  <c r="DO8" i="5"/>
  <c r="DP8" i="5"/>
  <c r="DQ8" i="5"/>
  <c r="DR8" i="5"/>
  <c r="DS8" i="5"/>
  <c r="DT8" i="5"/>
  <c r="DU8" i="5"/>
  <c r="DV8" i="5"/>
  <c r="DW8" i="5"/>
  <c r="DX8" i="5"/>
  <c r="DY8" i="5"/>
  <c r="DZ8" i="5"/>
  <c r="EA8" i="5"/>
  <c r="EB8" i="5"/>
  <c r="EC8" i="5"/>
  <c r="ED8" i="5"/>
  <c r="EE8" i="5"/>
  <c r="EF8" i="5"/>
  <c r="EG8" i="5"/>
  <c r="EH8" i="5"/>
  <c r="EI8" i="5"/>
  <c r="EJ8" i="5"/>
  <c r="EK8" i="5"/>
  <c r="EL8" i="5"/>
  <c r="EM8" i="5"/>
  <c r="EN8" i="5"/>
  <c r="EO8" i="5"/>
  <c r="EP8" i="5"/>
  <c r="EQ8" i="5"/>
  <c r="ER8" i="5"/>
  <c r="ES8" i="5"/>
  <c r="ET8" i="5"/>
  <c r="EU8" i="5"/>
  <c r="EV8" i="5"/>
  <c r="EW8" i="5"/>
  <c r="EX8" i="5"/>
  <c r="EY8" i="5"/>
  <c r="EZ8" i="5"/>
  <c r="FA8" i="5"/>
  <c r="FB8" i="5"/>
  <c r="FC8" i="5"/>
  <c r="FD8" i="5"/>
  <c r="FE8" i="5"/>
  <c r="FF8" i="5"/>
  <c r="FG8" i="5"/>
  <c r="FH8" i="5"/>
  <c r="FI8" i="5"/>
  <c r="FJ8" i="5"/>
  <c r="FK8" i="5"/>
  <c r="FL8" i="5"/>
  <c r="FM8" i="5"/>
  <c r="FN8" i="5"/>
  <c r="FO8" i="5"/>
  <c r="FP8" i="5"/>
  <c r="FQ8" i="5"/>
  <c r="FR8" i="5"/>
  <c r="FS8" i="5"/>
  <c r="FT8" i="5"/>
  <c r="FU8" i="5"/>
  <c r="FV8" i="5"/>
  <c r="FW8" i="5"/>
  <c r="FX8" i="5"/>
  <c r="FY8" i="5"/>
  <c r="FZ8" i="5"/>
  <c r="GA8" i="5"/>
  <c r="GB8" i="5"/>
  <c r="GC8" i="5"/>
  <c r="GD8" i="5"/>
  <c r="GE8" i="5"/>
  <c r="GF8" i="5"/>
  <c r="GG8" i="5"/>
  <c r="GH8" i="5"/>
  <c r="GI8" i="5"/>
  <c r="GJ8" i="5"/>
  <c r="GK8" i="5"/>
  <c r="GL8" i="5"/>
  <c r="GM8" i="5"/>
  <c r="GN8" i="5"/>
  <c r="GO8" i="5"/>
  <c r="GP8" i="5"/>
  <c r="GQ8" i="5"/>
  <c r="GR8" i="5"/>
  <c r="GS8" i="5"/>
  <c r="GT8" i="5"/>
  <c r="GU8" i="5"/>
  <c r="GV8" i="5"/>
  <c r="GW8" i="5"/>
  <c r="GX8" i="5"/>
  <c r="GY8" i="5"/>
  <c r="GZ8" i="5"/>
  <c r="HA8" i="5"/>
  <c r="HB8" i="5"/>
  <c r="HC8" i="5"/>
  <c r="HD8" i="5"/>
  <c r="HE8" i="5"/>
  <c r="HF8" i="5"/>
  <c r="HG8" i="5"/>
  <c r="HH8" i="5"/>
  <c r="HI8" i="5"/>
  <c r="HJ8" i="5"/>
  <c r="HK8" i="5"/>
  <c r="HL8" i="5"/>
  <c r="HM8" i="5"/>
  <c r="HN8" i="5"/>
  <c r="HO8" i="5"/>
  <c r="HP8" i="5"/>
  <c r="HQ8" i="5"/>
  <c r="HR8" i="5"/>
  <c r="HS8" i="5"/>
  <c r="HT8" i="5"/>
  <c r="HU8" i="5"/>
  <c r="HV8" i="5"/>
  <c r="HW8" i="5"/>
  <c r="HX8" i="5"/>
  <c r="HY8" i="5"/>
  <c r="HZ8" i="5"/>
  <c r="IA8" i="5"/>
  <c r="IB8" i="5"/>
  <c r="IC8" i="5"/>
  <c r="ID8" i="5"/>
  <c r="IE8" i="5"/>
  <c r="IF8" i="5"/>
  <c r="IG8" i="5"/>
  <c r="IH8" i="5"/>
  <c r="II8" i="5"/>
  <c r="IJ8" i="5"/>
  <c r="IK8" i="5"/>
  <c r="IL8" i="5"/>
  <c r="IM8" i="5"/>
  <c r="IN8" i="5"/>
  <c r="IO8" i="5"/>
  <c r="IP8" i="5"/>
  <c r="IQ8" i="5"/>
  <c r="IR8" i="5"/>
  <c r="IS8" i="5"/>
  <c r="IT8" i="5"/>
  <c r="IU8" i="5"/>
  <c r="IV8" i="5"/>
  <c r="A7" i="5"/>
  <c r="B7"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BN7" i="5"/>
  <c r="BO7" i="5"/>
  <c r="BP7" i="5"/>
  <c r="BQ7" i="5"/>
  <c r="BR7" i="5"/>
  <c r="BS7" i="5"/>
  <c r="BT7" i="5"/>
  <c r="BU7" i="5"/>
  <c r="BV7" i="5"/>
  <c r="BW7" i="5"/>
  <c r="BX7" i="5"/>
  <c r="BY7" i="5"/>
  <c r="BZ7" i="5"/>
  <c r="CA7" i="5"/>
  <c r="CB7" i="5"/>
  <c r="CC7" i="5"/>
  <c r="CD7" i="5"/>
  <c r="CE7" i="5"/>
  <c r="CF7" i="5"/>
  <c r="CG7" i="5"/>
  <c r="CH7" i="5"/>
  <c r="CI7" i="5"/>
  <c r="CJ7" i="5"/>
  <c r="CK7" i="5"/>
  <c r="CL7" i="5"/>
  <c r="CM7" i="5"/>
  <c r="CN7" i="5"/>
  <c r="CO7" i="5"/>
  <c r="CP7" i="5"/>
  <c r="CQ7" i="5"/>
  <c r="CR7" i="5"/>
  <c r="CS7" i="5"/>
  <c r="CT7" i="5"/>
  <c r="CU7" i="5"/>
  <c r="CV7" i="5"/>
  <c r="CW7" i="5"/>
  <c r="CX7" i="5"/>
  <c r="CY7" i="5"/>
  <c r="CZ7" i="5"/>
  <c r="DA7" i="5"/>
  <c r="DB7" i="5"/>
  <c r="DC7" i="5"/>
  <c r="DD7" i="5"/>
  <c r="DE7" i="5"/>
  <c r="DF7" i="5"/>
  <c r="DG7" i="5"/>
  <c r="DH7" i="5"/>
  <c r="DI7" i="5"/>
  <c r="DJ7" i="5"/>
  <c r="DK7" i="5"/>
  <c r="DL7" i="5"/>
  <c r="DM7" i="5"/>
  <c r="DN7" i="5"/>
  <c r="DO7" i="5"/>
  <c r="DP7" i="5"/>
  <c r="DQ7" i="5"/>
  <c r="DR7" i="5"/>
  <c r="DS7" i="5"/>
  <c r="DT7" i="5"/>
  <c r="DU7" i="5"/>
  <c r="DV7" i="5"/>
  <c r="DW7" i="5"/>
  <c r="DX7" i="5"/>
  <c r="DY7" i="5"/>
  <c r="DZ7" i="5"/>
  <c r="EA7" i="5"/>
  <c r="EB7" i="5"/>
  <c r="EC7" i="5"/>
  <c r="ED7" i="5"/>
  <c r="EE7" i="5"/>
  <c r="EF7" i="5"/>
  <c r="EG7" i="5"/>
  <c r="EH7" i="5"/>
  <c r="EI7" i="5"/>
  <c r="EJ7" i="5"/>
  <c r="EK7" i="5"/>
  <c r="EL7" i="5"/>
  <c r="EM7" i="5"/>
  <c r="EN7" i="5"/>
  <c r="EO7" i="5"/>
  <c r="EP7" i="5"/>
  <c r="EQ7" i="5"/>
  <c r="ER7" i="5"/>
  <c r="ES7" i="5"/>
  <c r="ET7" i="5"/>
  <c r="EU7" i="5"/>
  <c r="EV7" i="5"/>
  <c r="EW7" i="5"/>
  <c r="EX7" i="5"/>
  <c r="EY7" i="5"/>
  <c r="EZ7" i="5"/>
  <c r="FA7" i="5"/>
  <c r="FB7" i="5"/>
  <c r="FC7" i="5"/>
  <c r="FD7" i="5"/>
  <c r="FE7" i="5"/>
  <c r="FF7" i="5"/>
  <c r="FG7" i="5"/>
  <c r="FH7" i="5"/>
  <c r="FI7" i="5"/>
  <c r="FJ7" i="5"/>
  <c r="FK7" i="5"/>
  <c r="FL7" i="5"/>
  <c r="FM7" i="5"/>
  <c r="FN7" i="5"/>
  <c r="FO7" i="5"/>
  <c r="FP7" i="5"/>
  <c r="FQ7" i="5"/>
  <c r="FR7" i="5"/>
  <c r="FS7" i="5"/>
  <c r="FT7" i="5"/>
  <c r="FU7" i="5"/>
  <c r="FV7" i="5"/>
  <c r="FW7" i="5"/>
  <c r="FX7" i="5"/>
  <c r="FY7" i="5"/>
  <c r="FZ7" i="5"/>
  <c r="GA7" i="5"/>
  <c r="GB7" i="5"/>
  <c r="GC7" i="5"/>
  <c r="GD7" i="5"/>
  <c r="GE7" i="5"/>
  <c r="GF7" i="5"/>
  <c r="GG7" i="5"/>
  <c r="GH7" i="5"/>
  <c r="GI7" i="5"/>
  <c r="GJ7" i="5"/>
  <c r="GK7" i="5"/>
  <c r="GL7" i="5"/>
  <c r="GM7" i="5"/>
  <c r="GN7" i="5"/>
  <c r="GO7" i="5"/>
  <c r="GP7" i="5"/>
  <c r="GQ7" i="5"/>
  <c r="GR7" i="5"/>
  <c r="GS7" i="5"/>
  <c r="GT7" i="5"/>
  <c r="GU7" i="5"/>
  <c r="GV7" i="5"/>
  <c r="GW7" i="5"/>
  <c r="GX7" i="5"/>
  <c r="GY7" i="5"/>
  <c r="GZ7" i="5"/>
  <c r="HA7" i="5"/>
  <c r="HB7" i="5"/>
  <c r="HC7" i="5"/>
  <c r="HD7" i="5"/>
  <c r="HE7" i="5"/>
  <c r="HF7" i="5"/>
  <c r="HG7" i="5"/>
  <c r="HH7" i="5"/>
  <c r="HI7" i="5"/>
  <c r="HJ7" i="5"/>
  <c r="HK7" i="5"/>
  <c r="HL7" i="5"/>
  <c r="HM7" i="5"/>
  <c r="HN7" i="5"/>
  <c r="HO7" i="5"/>
  <c r="HP7" i="5"/>
  <c r="HQ7" i="5"/>
  <c r="HR7" i="5"/>
  <c r="HS7" i="5"/>
  <c r="HT7" i="5"/>
  <c r="HU7" i="5"/>
  <c r="HV7" i="5"/>
  <c r="HW7" i="5"/>
  <c r="HX7" i="5"/>
  <c r="HY7" i="5"/>
  <c r="HZ7" i="5"/>
  <c r="IA7" i="5"/>
  <c r="IB7" i="5"/>
  <c r="IC7" i="5"/>
  <c r="ID7" i="5"/>
  <c r="IE7" i="5"/>
  <c r="IF7" i="5"/>
  <c r="IG7" i="5"/>
  <c r="IH7" i="5"/>
  <c r="II7" i="5"/>
  <c r="IJ7" i="5"/>
  <c r="IK7" i="5"/>
  <c r="IL7" i="5"/>
  <c r="IM7" i="5"/>
  <c r="IN7" i="5"/>
  <c r="IO7" i="5"/>
  <c r="IP7" i="5"/>
  <c r="IQ7" i="5"/>
  <c r="IR7" i="5"/>
  <c r="IS7" i="5"/>
  <c r="IT7" i="5"/>
  <c r="IU7" i="5"/>
  <c r="IV7" i="5"/>
  <c r="A6"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CK6" i="5"/>
  <c r="CL6" i="5"/>
  <c r="CM6" i="5"/>
  <c r="CN6" i="5"/>
  <c r="CO6" i="5"/>
  <c r="CP6" i="5"/>
  <c r="CQ6" i="5"/>
  <c r="CR6" i="5"/>
  <c r="CS6" i="5"/>
  <c r="CT6" i="5"/>
  <c r="CU6" i="5"/>
  <c r="CV6" i="5"/>
  <c r="CW6" i="5"/>
  <c r="CX6" i="5"/>
  <c r="CY6" i="5"/>
  <c r="CZ6" i="5"/>
  <c r="DA6" i="5"/>
  <c r="DB6" i="5"/>
  <c r="DC6" i="5"/>
  <c r="DD6" i="5"/>
  <c r="DE6" i="5"/>
  <c r="DF6" i="5"/>
  <c r="DG6" i="5"/>
  <c r="DH6" i="5"/>
  <c r="DI6" i="5"/>
  <c r="DJ6" i="5"/>
  <c r="DK6" i="5"/>
  <c r="DL6" i="5"/>
  <c r="DM6" i="5"/>
  <c r="DN6" i="5"/>
  <c r="DO6" i="5"/>
  <c r="DP6" i="5"/>
  <c r="DQ6" i="5"/>
  <c r="DR6" i="5"/>
  <c r="DS6" i="5"/>
  <c r="DT6" i="5"/>
  <c r="DU6" i="5"/>
  <c r="DV6" i="5"/>
  <c r="DW6" i="5"/>
  <c r="DX6" i="5"/>
  <c r="DY6" i="5"/>
  <c r="DZ6" i="5"/>
  <c r="EA6" i="5"/>
  <c r="EB6" i="5"/>
  <c r="EC6" i="5"/>
  <c r="ED6" i="5"/>
  <c r="EE6" i="5"/>
  <c r="EF6" i="5"/>
  <c r="EG6" i="5"/>
  <c r="EH6" i="5"/>
  <c r="EI6" i="5"/>
  <c r="EJ6" i="5"/>
  <c r="EK6" i="5"/>
  <c r="EL6" i="5"/>
  <c r="EM6" i="5"/>
  <c r="EN6" i="5"/>
  <c r="EO6" i="5"/>
  <c r="EP6" i="5"/>
  <c r="EQ6" i="5"/>
  <c r="ER6" i="5"/>
  <c r="ES6" i="5"/>
  <c r="ET6" i="5"/>
  <c r="EU6" i="5"/>
  <c r="EV6" i="5"/>
  <c r="EW6" i="5"/>
  <c r="EX6" i="5"/>
  <c r="EY6" i="5"/>
  <c r="EZ6" i="5"/>
  <c r="FA6" i="5"/>
  <c r="FB6" i="5"/>
  <c r="FC6" i="5"/>
  <c r="FD6" i="5"/>
  <c r="FE6" i="5"/>
  <c r="FF6" i="5"/>
  <c r="FG6" i="5"/>
  <c r="FH6" i="5"/>
  <c r="FI6" i="5"/>
  <c r="FJ6" i="5"/>
  <c r="FK6" i="5"/>
  <c r="FL6" i="5"/>
  <c r="FM6" i="5"/>
  <c r="FN6" i="5"/>
  <c r="FO6" i="5"/>
  <c r="FP6" i="5"/>
  <c r="FQ6" i="5"/>
  <c r="FR6" i="5"/>
  <c r="FS6" i="5"/>
  <c r="FT6" i="5"/>
  <c r="FU6" i="5"/>
  <c r="FV6" i="5"/>
  <c r="FW6" i="5"/>
  <c r="FX6" i="5"/>
  <c r="FY6" i="5"/>
  <c r="FZ6" i="5"/>
  <c r="GA6" i="5"/>
  <c r="GB6" i="5"/>
  <c r="GC6" i="5"/>
  <c r="GD6" i="5"/>
  <c r="GE6" i="5"/>
  <c r="GF6" i="5"/>
  <c r="GG6" i="5"/>
  <c r="GH6" i="5"/>
  <c r="GI6" i="5"/>
  <c r="GJ6" i="5"/>
  <c r="GK6" i="5"/>
  <c r="GL6" i="5"/>
  <c r="GM6" i="5"/>
  <c r="GN6" i="5"/>
  <c r="GO6" i="5"/>
  <c r="GP6" i="5"/>
  <c r="GQ6" i="5"/>
  <c r="GR6" i="5"/>
  <c r="GS6" i="5"/>
  <c r="GT6" i="5"/>
  <c r="GU6" i="5"/>
  <c r="GV6" i="5"/>
  <c r="GW6" i="5"/>
  <c r="GX6" i="5"/>
  <c r="GY6" i="5"/>
  <c r="GZ6" i="5"/>
  <c r="HA6" i="5"/>
  <c r="HB6" i="5"/>
  <c r="HC6" i="5"/>
  <c r="HD6" i="5"/>
  <c r="HE6" i="5"/>
  <c r="HF6" i="5"/>
  <c r="HG6" i="5"/>
  <c r="HH6" i="5"/>
  <c r="HI6" i="5"/>
  <c r="HJ6" i="5"/>
  <c r="HK6" i="5"/>
  <c r="HL6" i="5"/>
  <c r="HM6" i="5"/>
  <c r="HN6" i="5"/>
  <c r="HO6" i="5"/>
  <c r="HP6" i="5"/>
  <c r="HQ6" i="5"/>
  <c r="HR6" i="5"/>
  <c r="HS6" i="5"/>
  <c r="HT6" i="5"/>
  <c r="HU6" i="5"/>
  <c r="HV6" i="5"/>
  <c r="HW6" i="5"/>
  <c r="HX6" i="5"/>
  <c r="HY6" i="5"/>
  <c r="HZ6" i="5"/>
  <c r="IA6" i="5"/>
  <c r="IB6" i="5"/>
  <c r="IC6" i="5"/>
  <c r="ID6" i="5"/>
  <c r="IE6" i="5"/>
  <c r="IF6" i="5"/>
  <c r="IG6" i="5"/>
  <c r="IH6" i="5"/>
  <c r="II6" i="5"/>
  <c r="IJ6" i="5"/>
  <c r="IK6" i="5"/>
  <c r="IL6" i="5"/>
  <c r="IM6" i="5"/>
  <c r="IN6" i="5"/>
  <c r="IO6" i="5"/>
  <c r="IP6" i="5"/>
  <c r="IQ6" i="5"/>
  <c r="IR6" i="5"/>
  <c r="IS6" i="5"/>
  <c r="IT6" i="5"/>
  <c r="IU6" i="5"/>
  <c r="IV6" i="5"/>
  <c r="A5" i="5"/>
  <c r="B5" i="5"/>
  <c r="C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BT5" i="5"/>
  <c r="BU5" i="5"/>
  <c r="BV5" i="5"/>
  <c r="BW5" i="5"/>
  <c r="BX5" i="5"/>
  <c r="BY5" i="5"/>
  <c r="BZ5" i="5"/>
  <c r="CA5" i="5"/>
  <c r="CB5" i="5"/>
  <c r="CC5" i="5"/>
  <c r="CD5" i="5"/>
  <c r="CE5" i="5"/>
  <c r="CF5" i="5"/>
  <c r="CG5" i="5"/>
  <c r="CH5" i="5"/>
  <c r="CI5" i="5"/>
  <c r="CJ5" i="5"/>
  <c r="CK5" i="5"/>
  <c r="CL5" i="5"/>
  <c r="CM5" i="5"/>
  <c r="CN5" i="5"/>
  <c r="CO5" i="5"/>
  <c r="CP5" i="5"/>
  <c r="CQ5" i="5"/>
  <c r="CR5" i="5"/>
  <c r="CS5" i="5"/>
  <c r="CT5" i="5"/>
  <c r="CU5" i="5"/>
  <c r="CV5" i="5"/>
  <c r="CW5" i="5"/>
  <c r="CX5" i="5"/>
  <c r="CY5" i="5"/>
  <c r="CZ5" i="5"/>
  <c r="DA5" i="5"/>
  <c r="DB5" i="5"/>
  <c r="DC5" i="5"/>
  <c r="DD5" i="5"/>
  <c r="DE5" i="5"/>
  <c r="DF5" i="5"/>
  <c r="DG5" i="5"/>
  <c r="DH5" i="5"/>
  <c r="DI5" i="5"/>
  <c r="DJ5" i="5"/>
  <c r="DK5" i="5"/>
  <c r="DL5" i="5"/>
  <c r="DM5" i="5"/>
  <c r="DN5" i="5"/>
  <c r="DO5" i="5"/>
  <c r="DP5" i="5"/>
  <c r="DQ5" i="5"/>
  <c r="DR5" i="5"/>
  <c r="DS5" i="5"/>
  <c r="DT5" i="5"/>
  <c r="DU5" i="5"/>
  <c r="DV5" i="5"/>
  <c r="DW5" i="5"/>
  <c r="DX5" i="5"/>
  <c r="DY5" i="5"/>
  <c r="DZ5" i="5"/>
  <c r="EA5" i="5"/>
  <c r="EB5" i="5"/>
  <c r="EC5" i="5"/>
  <c r="ED5" i="5"/>
  <c r="EE5" i="5"/>
  <c r="EF5" i="5"/>
  <c r="EG5" i="5"/>
  <c r="EH5" i="5"/>
  <c r="EI5" i="5"/>
  <c r="EJ5" i="5"/>
  <c r="EK5" i="5"/>
  <c r="EL5" i="5"/>
  <c r="EM5" i="5"/>
  <c r="EN5" i="5"/>
  <c r="EO5" i="5"/>
  <c r="EP5" i="5"/>
  <c r="EQ5" i="5"/>
  <c r="ER5" i="5"/>
  <c r="ES5" i="5"/>
  <c r="ET5" i="5"/>
  <c r="EU5" i="5"/>
  <c r="EV5" i="5"/>
  <c r="EW5" i="5"/>
  <c r="EX5" i="5"/>
  <c r="EY5" i="5"/>
  <c r="EZ5" i="5"/>
  <c r="FA5" i="5"/>
  <c r="FB5" i="5"/>
  <c r="FC5" i="5"/>
  <c r="FD5" i="5"/>
  <c r="FE5" i="5"/>
  <c r="FF5" i="5"/>
  <c r="FG5" i="5"/>
  <c r="FH5" i="5"/>
  <c r="FI5" i="5"/>
  <c r="FJ5" i="5"/>
  <c r="FK5" i="5"/>
  <c r="FL5" i="5"/>
  <c r="FM5" i="5"/>
  <c r="FN5" i="5"/>
  <c r="FO5" i="5"/>
  <c r="FP5" i="5"/>
  <c r="FQ5" i="5"/>
  <c r="FR5" i="5"/>
  <c r="FS5" i="5"/>
  <c r="FT5" i="5"/>
  <c r="FU5" i="5"/>
  <c r="FV5" i="5"/>
  <c r="FW5" i="5"/>
  <c r="FX5" i="5"/>
  <c r="FY5" i="5"/>
  <c r="FZ5" i="5"/>
  <c r="GA5" i="5"/>
  <c r="GB5" i="5"/>
  <c r="GC5" i="5"/>
  <c r="GD5" i="5"/>
  <c r="GE5" i="5"/>
  <c r="GF5" i="5"/>
  <c r="GG5" i="5"/>
  <c r="GH5" i="5"/>
  <c r="GI5" i="5"/>
  <c r="GJ5" i="5"/>
  <c r="GK5" i="5"/>
  <c r="GL5" i="5"/>
  <c r="GM5" i="5"/>
  <c r="GN5" i="5"/>
  <c r="GO5" i="5"/>
  <c r="GP5" i="5"/>
  <c r="GQ5" i="5"/>
  <c r="GR5" i="5"/>
  <c r="GS5" i="5"/>
  <c r="GT5" i="5"/>
  <c r="GU5" i="5"/>
  <c r="GV5" i="5"/>
  <c r="GW5" i="5"/>
  <c r="GX5" i="5"/>
  <c r="GY5" i="5"/>
  <c r="GZ5" i="5"/>
  <c r="HA5" i="5"/>
  <c r="HB5" i="5"/>
  <c r="HC5" i="5"/>
  <c r="HD5" i="5"/>
  <c r="HE5" i="5"/>
  <c r="HF5" i="5"/>
  <c r="HG5" i="5"/>
  <c r="HH5" i="5"/>
  <c r="HI5" i="5"/>
  <c r="HJ5" i="5"/>
  <c r="HK5" i="5"/>
  <c r="HL5" i="5"/>
  <c r="HM5" i="5"/>
  <c r="HN5" i="5"/>
  <c r="HO5" i="5"/>
  <c r="HP5" i="5"/>
  <c r="HQ5" i="5"/>
  <c r="HR5" i="5"/>
  <c r="HS5" i="5"/>
  <c r="HT5" i="5"/>
  <c r="HU5" i="5"/>
  <c r="HV5" i="5"/>
  <c r="HW5" i="5"/>
  <c r="HX5" i="5"/>
  <c r="HY5" i="5"/>
  <c r="HZ5" i="5"/>
  <c r="IA5" i="5"/>
  <c r="IB5" i="5"/>
  <c r="IC5" i="5"/>
  <c r="ID5" i="5"/>
  <c r="IE5" i="5"/>
  <c r="IF5" i="5"/>
  <c r="IG5" i="5"/>
  <c r="IH5" i="5"/>
  <c r="II5" i="5"/>
  <c r="IJ5" i="5"/>
  <c r="IK5" i="5"/>
  <c r="IL5" i="5"/>
  <c r="IM5" i="5"/>
  <c r="IN5" i="5"/>
  <c r="IO5" i="5"/>
  <c r="IP5" i="5"/>
  <c r="IQ5" i="5"/>
  <c r="IR5" i="5"/>
  <c r="IS5" i="5"/>
  <c r="IT5" i="5"/>
  <c r="IU5" i="5"/>
  <c r="IV5" i="5"/>
  <c r="A4" i="5"/>
  <c r="B4" i="5"/>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BN4" i="5"/>
  <c r="BO4" i="5"/>
  <c r="BP4" i="5"/>
  <c r="BQ4" i="5"/>
  <c r="BR4" i="5"/>
  <c r="BS4" i="5"/>
  <c r="BT4" i="5"/>
  <c r="BU4" i="5"/>
  <c r="BV4" i="5"/>
  <c r="BW4" i="5"/>
  <c r="BX4" i="5"/>
  <c r="BY4" i="5"/>
  <c r="BZ4" i="5"/>
  <c r="CA4" i="5"/>
  <c r="CB4" i="5"/>
  <c r="CC4" i="5"/>
  <c r="CD4" i="5"/>
  <c r="CE4" i="5"/>
  <c r="CF4" i="5"/>
  <c r="CG4" i="5"/>
  <c r="CH4" i="5"/>
  <c r="CI4" i="5"/>
  <c r="CJ4" i="5"/>
  <c r="CK4" i="5"/>
  <c r="CL4" i="5"/>
  <c r="CM4" i="5"/>
  <c r="CN4" i="5"/>
  <c r="CO4" i="5"/>
  <c r="CP4" i="5"/>
  <c r="CQ4" i="5"/>
  <c r="CR4" i="5"/>
  <c r="CS4" i="5"/>
  <c r="CT4" i="5"/>
  <c r="CU4" i="5"/>
  <c r="CV4" i="5"/>
  <c r="CW4" i="5"/>
  <c r="CX4" i="5"/>
  <c r="CY4" i="5"/>
  <c r="CZ4" i="5"/>
  <c r="DA4" i="5"/>
  <c r="DB4" i="5"/>
  <c r="DC4" i="5"/>
  <c r="DD4" i="5"/>
  <c r="DE4" i="5"/>
  <c r="DF4" i="5"/>
  <c r="DG4" i="5"/>
  <c r="DH4" i="5"/>
  <c r="DI4" i="5"/>
  <c r="DJ4" i="5"/>
  <c r="DK4" i="5"/>
  <c r="DL4" i="5"/>
  <c r="DM4" i="5"/>
  <c r="DN4" i="5"/>
  <c r="DO4" i="5"/>
  <c r="DP4" i="5"/>
  <c r="DQ4" i="5"/>
  <c r="DR4" i="5"/>
  <c r="DS4" i="5"/>
  <c r="DT4" i="5"/>
  <c r="DU4" i="5"/>
  <c r="DV4" i="5"/>
  <c r="DW4" i="5"/>
  <c r="DX4" i="5"/>
  <c r="DY4" i="5"/>
  <c r="DZ4" i="5"/>
  <c r="EA4" i="5"/>
  <c r="EB4" i="5"/>
  <c r="EC4" i="5"/>
  <c r="ED4" i="5"/>
  <c r="EE4" i="5"/>
  <c r="EF4" i="5"/>
  <c r="EG4" i="5"/>
  <c r="EH4" i="5"/>
  <c r="EI4" i="5"/>
  <c r="EJ4" i="5"/>
  <c r="EK4" i="5"/>
  <c r="EL4" i="5"/>
  <c r="EM4" i="5"/>
  <c r="EN4" i="5"/>
  <c r="EO4" i="5"/>
  <c r="EP4" i="5"/>
  <c r="EQ4" i="5"/>
  <c r="ER4" i="5"/>
  <c r="ES4" i="5"/>
  <c r="ET4" i="5"/>
  <c r="EU4" i="5"/>
  <c r="EV4" i="5"/>
  <c r="EW4" i="5"/>
  <c r="EX4" i="5"/>
  <c r="EY4" i="5"/>
  <c r="EZ4" i="5"/>
  <c r="FA4" i="5"/>
  <c r="FB4" i="5"/>
  <c r="FC4" i="5"/>
  <c r="FD4" i="5"/>
  <c r="FE4" i="5"/>
  <c r="FF4" i="5"/>
  <c r="FG4" i="5"/>
  <c r="FH4" i="5"/>
  <c r="FI4" i="5"/>
  <c r="FJ4" i="5"/>
  <c r="FK4" i="5"/>
  <c r="FL4" i="5"/>
  <c r="FM4" i="5"/>
  <c r="FN4" i="5"/>
  <c r="FO4" i="5"/>
  <c r="FP4" i="5"/>
  <c r="FQ4" i="5"/>
  <c r="FR4" i="5"/>
  <c r="FS4" i="5"/>
  <c r="FT4" i="5"/>
  <c r="FU4" i="5"/>
  <c r="FV4" i="5"/>
  <c r="FW4" i="5"/>
  <c r="FX4" i="5"/>
  <c r="FY4" i="5"/>
  <c r="FZ4" i="5"/>
  <c r="GA4" i="5"/>
  <c r="GB4" i="5"/>
  <c r="GC4" i="5"/>
  <c r="GD4" i="5"/>
  <c r="GE4" i="5"/>
  <c r="GF4" i="5"/>
  <c r="GG4" i="5"/>
  <c r="GH4" i="5"/>
  <c r="GI4" i="5"/>
  <c r="GJ4" i="5"/>
  <c r="GK4" i="5"/>
  <c r="GL4" i="5"/>
  <c r="GM4" i="5"/>
  <c r="GN4" i="5"/>
  <c r="GO4" i="5"/>
  <c r="GP4" i="5"/>
  <c r="GQ4" i="5"/>
  <c r="GR4" i="5"/>
  <c r="GS4" i="5"/>
  <c r="GT4" i="5"/>
  <c r="GU4" i="5"/>
  <c r="GV4" i="5"/>
  <c r="GW4" i="5"/>
  <c r="GX4" i="5"/>
  <c r="GY4" i="5"/>
  <c r="GZ4" i="5"/>
  <c r="HA4" i="5"/>
  <c r="HB4" i="5"/>
  <c r="HC4" i="5"/>
  <c r="HD4" i="5"/>
  <c r="HE4" i="5"/>
  <c r="HF4" i="5"/>
  <c r="HG4" i="5"/>
  <c r="HH4" i="5"/>
  <c r="HI4" i="5"/>
  <c r="HJ4" i="5"/>
  <c r="HK4" i="5"/>
  <c r="HL4" i="5"/>
  <c r="HM4" i="5"/>
  <c r="HN4" i="5"/>
  <c r="HO4" i="5"/>
  <c r="HP4" i="5"/>
  <c r="HQ4" i="5"/>
  <c r="HR4" i="5"/>
  <c r="HS4" i="5"/>
  <c r="HT4" i="5"/>
  <c r="HU4" i="5"/>
  <c r="HV4" i="5"/>
  <c r="HW4" i="5"/>
  <c r="HX4" i="5"/>
  <c r="HY4" i="5"/>
  <c r="HZ4" i="5"/>
  <c r="IA4" i="5"/>
  <c r="IB4" i="5"/>
  <c r="IC4" i="5"/>
  <c r="ID4" i="5"/>
  <c r="IE4" i="5"/>
  <c r="IF4" i="5"/>
  <c r="IG4" i="5"/>
  <c r="IH4" i="5"/>
  <c r="II4" i="5"/>
  <c r="IJ4" i="5"/>
  <c r="IK4" i="5"/>
  <c r="IL4" i="5"/>
  <c r="IM4" i="5"/>
  <c r="IN4" i="5"/>
  <c r="IO4" i="5"/>
  <c r="IP4" i="5"/>
  <c r="IQ4" i="5"/>
  <c r="IR4" i="5"/>
  <c r="IS4" i="5"/>
  <c r="IT4" i="5"/>
  <c r="IU4" i="5"/>
  <c r="IV4" i="5"/>
  <c r="A3" i="5"/>
  <c r="B3" i="5"/>
  <c r="C3" i="5"/>
  <c r="D3" i="5"/>
  <c r="E3" i="5"/>
  <c r="F3" i="5"/>
  <c r="G3" i="5"/>
  <c r="H3" i="5"/>
  <c r="I3" i="5"/>
  <c r="J3" i="5"/>
  <c r="K3" i="5"/>
  <c r="L3" i="5"/>
  <c r="M3" i="5"/>
  <c r="N3" i="5"/>
  <c r="O3" i="5"/>
  <c r="P3" i="5"/>
  <c r="Q3" i="5"/>
  <c r="R3" i="5"/>
  <c r="S3" i="5"/>
  <c r="T3" i="5"/>
  <c r="U3" i="5"/>
  <c r="V3" i="5"/>
  <c r="W3" i="5"/>
  <c r="X3" i="5"/>
  <c r="Y3" i="5"/>
  <c r="Z3" i="5"/>
  <c r="AA3" i="5"/>
  <c r="AB3" i="5"/>
  <c r="AC3" i="5"/>
  <c r="AD3" i="5"/>
  <c r="AE3" i="5"/>
  <c r="AF3" i="5"/>
  <c r="AG3" i="5"/>
  <c r="AH3" i="5"/>
  <c r="AI3" i="5"/>
  <c r="AJ3" i="5"/>
  <c r="AK3" i="5"/>
  <c r="AL3" i="5"/>
  <c r="AM3" i="5"/>
  <c r="AN3" i="5"/>
  <c r="AO3" i="5"/>
  <c r="AP3" i="5"/>
  <c r="AQ3" i="5"/>
  <c r="AR3" i="5"/>
  <c r="AS3" i="5"/>
  <c r="AT3" i="5"/>
  <c r="AU3" i="5"/>
  <c r="AV3" i="5"/>
  <c r="AW3" i="5"/>
  <c r="AX3" i="5"/>
  <c r="AY3" i="5"/>
  <c r="AZ3" i="5"/>
  <c r="BA3" i="5"/>
  <c r="BB3" i="5"/>
  <c r="BC3" i="5"/>
  <c r="BD3" i="5"/>
  <c r="BE3" i="5"/>
  <c r="BF3" i="5"/>
  <c r="BG3" i="5"/>
  <c r="BH3" i="5"/>
  <c r="BI3" i="5"/>
  <c r="BJ3" i="5"/>
  <c r="BK3" i="5"/>
  <c r="BL3" i="5"/>
  <c r="BM3" i="5"/>
  <c r="BN3" i="5"/>
  <c r="BO3" i="5"/>
  <c r="BP3" i="5"/>
  <c r="BQ3" i="5"/>
  <c r="BR3" i="5"/>
  <c r="BS3" i="5"/>
  <c r="BT3" i="5"/>
  <c r="BU3" i="5"/>
  <c r="BV3" i="5"/>
  <c r="BW3" i="5"/>
  <c r="BX3" i="5"/>
  <c r="BY3" i="5"/>
  <c r="BZ3" i="5"/>
  <c r="CA3" i="5"/>
  <c r="CB3" i="5"/>
  <c r="CC3" i="5"/>
  <c r="CD3" i="5"/>
  <c r="CE3" i="5"/>
  <c r="CF3" i="5"/>
  <c r="CG3" i="5"/>
  <c r="CH3" i="5"/>
  <c r="CI3" i="5"/>
  <c r="CJ3" i="5"/>
  <c r="CK3" i="5"/>
  <c r="CL3" i="5"/>
  <c r="CM3" i="5"/>
  <c r="CN3" i="5"/>
  <c r="CO3" i="5"/>
  <c r="CP3" i="5"/>
  <c r="CQ3" i="5"/>
  <c r="CR3" i="5"/>
  <c r="CS3" i="5"/>
  <c r="CT3" i="5"/>
  <c r="CU3" i="5"/>
  <c r="CV3" i="5"/>
  <c r="CW3" i="5"/>
  <c r="CX3" i="5"/>
  <c r="CY3" i="5"/>
  <c r="CZ3" i="5"/>
  <c r="DA3" i="5"/>
  <c r="DB3" i="5"/>
  <c r="DC3" i="5"/>
  <c r="DD3" i="5"/>
  <c r="DE3" i="5"/>
  <c r="DF3" i="5"/>
  <c r="DG3" i="5"/>
  <c r="DH3" i="5"/>
  <c r="DI3" i="5"/>
  <c r="DJ3" i="5"/>
  <c r="DK3" i="5"/>
  <c r="DL3" i="5"/>
  <c r="DM3" i="5"/>
  <c r="DN3" i="5"/>
  <c r="DO3" i="5"/>
  <c r="DP3" i="5"/>
  <c r="DQ3" i="5"/>
  <c r="DR3" i="5"/>
  <c r="DS3" i="5"/>
  <c r="DT3" i="5"/>
  <c r="DU3" i="5"/>
  <c r="DV3" i="5"/>
  <c r="DW3" i="5"/>
  <c r="DX3" i="5"/>
  <c r="DY3" i="5"/>
  <c r="DZ3" i="5"/>
  <c r="EA3" i="5"/>
  <c r="EB3" i="5"/>
  <c r="EC3" i="5"/>
  <c r="ED3" i="5"/>
  <c r="EE3" i="5"/>
  <c r="EF3" i="5"/>
  <c r="EG3" i="5"/>
  <c r="EH3" i="5"/>
  <c r="EI3" i="5"/>
  <c r="EJ3" i="5"/>
  <c r="EK3" i="5"/>
  <c r="EL3" i="5"/>
  <c r="EM3" i="5"/>
  <c r="EN3" i="5"/>
  <c r="EO3" i="5"/>
  <c r="EP3" i="5"/>
  <c r="EQ3" i="5"/>
  <c r="ER3" i="5"/>
  <c r="ES3" i="5"/>
  <c r="ET3" i="5"/>
  <c r="EU3" i="5"/>
  <c r="EV3" i="5"/>
  <c r="EW3" i="5"/>
  <c r="EX3" i="5"/>
  <c r="EY3" i="5"/>
  <c r="EZ3" i="5"/>
  <c r="FA3" i="5"/>
  <c r="FB3" i="5"/>
  <c r="FC3" i="5"/>
  <c r="FD3" i="5"/>
  <c r="FE3" i="5"/>
  <c r="FF3" i="5"/>
  <c r="FG3" i="5"/>
  <c r="FH3" i="5"/>
  <c r="FI3" i="5"/>
  <c r="FJ3" i="5"/>
  <c r="FK3" i="5"/>
  <c r="FL3" i="5"/>
  <c r="FM3" i="5"/>
  <c r="FN3" i="5"/>
  <c r="FO3" i="5"/>
  <c r="FP3" i="5"/>
  <c r="FQ3" i="5"/>
  <c r="FR3" i="5"/>
  <c r="FS3" i="5"/>
  <c r="FT3" i="5"/>
  <c r="FU3" i="5"/>
  <c r="FV3" i="5"/>
  <c r="FW3" i="5"/>
  <c r="FX3" i="5"/>
  <c r="FY3" i="5"/>
  <c r="FZ3" i="5"/>
  <c r="GA3" i="5"/>
  <c r="GB3" i="5"/>
  <c r="GC3" i="5"/>
  <c r="GD3" i="5"/>
  <c r="GE3" i="5"/>
  <c r="GF3" i="5"/>
  <c r="GG3" i="5"/>
  <c r="GH3" i="5"/>
  <c r="GI3" i="5"/>
  <c r="GJ3" i="5"/>
  <c r="GK3" i="5"/>
  <c r="GL3" i="5"/>
  <c r="GM3" i="5"/>
  <c r="GN3" i="5"/>
  <c r="GO3" i="5"/>
  <c r="GP3" i="5"/>
  <c r="GQ3" i="5"/>
  <c r="GR3" i="5"/>
  <c r="GS3" i="5"/>
  <c r="GT3" i="5"/>
  <c r="GU3" i="5"/>
  <c r="GV3" i="5"/>
  <c r="GW3" i="5"/>
  <c r="GX3" i="5"/>
  <c r="GY3" i="5"/>
  <c r="GZ3" i="5"/>
  <c r="HA3" i="5"/>
  <c r="HB3" i="5"/>
  <c r="HC3" i="5"/>
  <c r="HD3" i="5"/>
  <c r="HE3" i="5"/>
  <c r="HF3" i="5"/>
  <c r="HG3" i="5"/>
  <c r="HH3" i="5"/>
  <c r="HI3" i="5"/>
  <c r="HJ3" i="5"/>
  <c r="HK3" i="5"/>
  <c r="HL3" i="5"/>
  <c r="HM3" i="5"/>
  <c r="HN3" i="5"/>
  <c r="HO3" i="5"/>
  <c r="HP3" i="5"/>
  <c r="HQ3" i="5"/>
  <c r="HR3" i="5"/>
  <c r="HS3" i="5"/>
  <c r="HT3" i="5"/>
  <c r="HU3" i="5"/>
  <c r="HV3" i="5"/>
  <c r="HW3" i="5"/>
  <c r="HX3" i="5"/>
  <c r="HY3" i="5"/>
  <c r="HZ3" i="5"/>
  <c r="IA3" i="5"/>
  <c r="IB3" i="5"/>
  <c r="IC3" i="5"/>
  <c r="ID3" i="5"/>
  <c r="IE3" i="5"/>
  <c r="IF3" i="5"/>
  <c r="IG3" i="5"/>
  <c r="IH3" i="5"/>
  <c r="II3" i="5"/>
  <c r="IJ3" i="5"/>
  <c r="IK3" i="5"/>
  <c r="IL3" i="5"/>
  <c r="IM3" i="5"/>
  <c r="IN3" i="5"/>
  <c r="IO3" i="5"/>
  <c r="IP3" i="5"/>
  <c r="IQ3" i="5"/>
  <c r="IR3" i="5"/>
  <c r="IS3" i="5"/>
  <c r="IT3" i="5"/>
  <c r="IU3" i="5"/>
  <c r="IV3" i="5"/>
  <c r="A2" i="5"/>
  <c r="B2" i="5"/>
  <c r="C2" i="5"/>
  <c r="D2" i="5"/>
  <c r="E2" i="5"/>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BT2"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DA2" i="5"/>
  <c r="DB2" i="5"/>
  <c r="DC2" i="5"/>
  <c r="DD2" i="5"/>
  <c r="DE2" i="5"/>
  <c r="DF2" i="5"/>
  <c r="DG2" i="5"/>
  <c r="DH2" i="5"/>
  <c r="DI2" i="5"/>
  <c r="DJ2" i="5"/>
  <c r="DK2" i="5"/>
  <c r="DL2" i="5"/>
  <c r="DM2" i="5"/>
  <c r="DN2" i="5"/>
  <c r="DO2" i="5"/>
  <c r="DP2" i="5"/>
  <c r="DQ2" i="5"/>
  <c r="DR2" i="5"/>
  <c r="DS2" i="5"/>
  <c r="DT2" i="5"/>
  <c r="DU2" i="5"/>
  <c r="DV2" i="5"/>
  <c r="DW2" i="5"/>
  <c r="DX2" i="5"/>
  <c r="DY2" i="5"/>
  <c r="DZ2" i="5"/>
  <c r="EA2" i="5"/>
  <c r="EB2" i="5"/>
  <c r="EC2" i="5"/>
  <c r="ED2" i="5"/>
  <c r="EE2" i="5"/>
  <c r="EF2" i="5"/>
  <c r="EG2" i="5"/>
  <c r="EH2" i="5"/>
  <c r="EI2" i="5"/>
  <c r="EJ2" i="5"/>
  <c r="EK2" i="5"/>
  <c r="EL2" i="5"/>
  <c r="EM2" i="5"/>
  <c r="EN2" i="5"/>
  <c r="EO2" i="5"/>
  <c r="EP2" i="5"/>
  <c r="EQ2" i="5"/>
  <c r="ER2" i="5"/>
  <c r="ES2" i="5"/>
  <c r="ET2" i="5"/>
  <c r="EU2" i="5"/>
  <c r="EV2" i="5"/>
  <c r="EW2" i="5"/>
  <c r="EX2" i="5"/>
  <c r="EY2" i="5"/>
  <c r="EZ2" i="5"/>
  <c r="FA2" i="5"/>
  <c r="FB2" i="5"/>
  <c r="FC2" i="5"/>
  <c r="FD2" i="5"/>
  <c r="FE2" i="5"/>
  <c r="FF2" i="5"/>
  <c r="FG2" i="5"/>
  <c r="FH2" i="5"/>
  <c r="FI2" i="5"/>
  <c r="FJ2" i="5"/>
  <c r="FK2" i="5"/>
  <c r="FL2" i="5"/>
  <c r="FM2" i="5"/>
  <c r="FN2" i="5"/>
  <c r="FO2" i="5"/>
  <c r="FP2" i="5"/>
  <c r="FQ2" i="5"/>
  <c r="FR2" i="5"/>
  <c r="FS2" i="5"/>
  <c r="FT2" i="5"/>
  <c r="FU2" i="5"/>
  <c r="FV2" i="5"/>
  <c r="FW2" i="5"/>
  <c r="FX2" i="5"/>
  <c r="FY2" i="5"/>
  <c r="FZ2" i="5"/>
  <c r="GA2" i="5"/>
  <c r="GB2" i="5"/>
  <c r="GC2" i="5"/>
  <c r="GD2" i="5"/>
  <c r="GE2" i="5"/>
  <c r="GF2" i="5"/>
  <c r="GG2" i="5"/>
  <c r="GH2" i="5"/>
  <c r="GI2" i="5"/>
  <c r="GJ2" i="5"/>
  <c r="GK2" i="5"/>
  <c r="GL2" i="5"/>
  <c r="GM2" i="5"/>
  <c r="GN2" i="5"/>
  <c r="GO2" i="5"/>
  <c r="GP2" i="5"/>
  <c r="GQ2" i="5"/>
  <c r="GR2" i="5"/>
  <c r="GS2" i="5"/>
  <c r="GT2" i="5"/>
  <c r="GU2" i="5"/>
  <c r="GV2" i="5"/>
  <c r="GW2" i="5"/>
  <c r="GX2" i="5"/>
  <c r="GY2" i="5"/>
  <c r="GZ2" i="5"/>
  <c r="HA2" i="5"/>
  <c r="HB2" i="5"/>
  <c r="HC2" i="5"/>
  <c r="HD2" i="5"/>
  <c r="HE2" i="5"/>
  <c r="HF2" i="5"/>
  <c r="HG2" i="5"/>
  <c r="HH2" i="5"/>
  <c r="HI2" i="5"/>
  <c r="HJ2" i="5"/>
  <c r="HK2" i="5"/>
  <c r="HL2" i="5"/>
  <c r="HM2" i="5"/>
  <c r="HN2" i="5"/>
  <c r="HO2" i="5"/>
  <c r="HP2" i="5"/>
  <c r="HQ2" i="5"/>
  <c r="HR2" i="5"/>
  <c r="HS2" i="5"/>
  <c r="HT2" i="5"/>
  <c r="HU2" i="5"/>
  <c r="HV2" i="5"/>
  <c r="HW2" i="5"/>
  <c r="HX2" i="5"/>
  <c r="HY2" i="5"/>
  <c r="HZ2" i="5"/>
  <c r="IA2" i="5"/>
  <c r="IB2" i="5"/>
  <c r="IC2" i="5"/>
  <c r="ID2" i="5"/>
  <c r="IE2" i="5"/>
  <c r="IF2" i="5"/>
  <c r="IG2" i="5"/>
  <c r="IH2" i="5"/>
  <c r="II2" i="5"/>
  <c r="IJ2" i="5"/>
  <c r="IK2" i="5"/>
  <c r="IL2" i="5"/>
  <c r="IM2" i="5"/>
  <c r="IN2" i="5"/>
  <c r="IO2" i="5"/>
  <c r="IP2" i="5"/>
  <c r="IQ2" i="5"/>
  <c r="IR2" i="5"/>
  <c r="IS2" i="5"/>
  <c r="IT2" i="5"/>
  <c r="IU2" i="5"/>
  <c r="IV2" i="5"/>
  <c r="A1" i="5"/>
  <c r="B1" i="5"/>
  <c r="C1" i="5"/>
  <c r="D1" i="5"/>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Y1" i="5"/>
  <c r="BZ1" i="5"/>
  <c r="CA1" i="5"/>
  <c r="CB1" i="5"/>
  <c r="CC1" i="5"/>
  <c r="CD1" i="5"/>
  <c r="CE1" i="5"/>
  <c r="CF1" i="5"/>
  <c r="CG1" i="5"/>
  <c r="CH1" i="5"/>
  <c r="CI1" i="5"/>
  <c r="CJ1" i="5"/>
  <c r="CK1" i="5"/>
  <c r="CL1" i="5"/>
  <c r="CM1" i="5"/>
  <c r="CN1" i="5"/>
  <c r="CO1" i="5"/>
  <c r="CP1" i="5"/>
  <c r="CQ1" i="5"/>
  <c r="CR1" i="5"/>
  <c r="CS1" i="5"/>
  <c r="CT1" i="5"/>
  <c r="CU1" i="5"/>
  <c r="CV1" i="5"/>
  <c r="CW1" i="5"/>
  <c r="CX1" i="5"/>
  <c r="CY1" i="5"/>
  <c r="CZ1" i="5"/>
  <c r="DA1" i="5"/>
  <c r="DB1" i="5"/>
  <c r="DC1" i="5"/>
  <c r="DD1" i="5"/>
  <c r="DE1" i="5"/>
  <c r="DF1" i="5"/>
  <c r="DG1" i="5"/>
  <c r="DH1" i="5"/>
  <c r="DI1" i="5"/>
  <c r="DJ1" i="5"/>
  <c r="DK1" i="5"/>
  <c r="DL1" i="5"/>
  <c r="DM1" i="5"/>
  <c r="DN1" i="5"/>
  <c r="DO1" i="5"/>
  <c r="DP1" i="5"/>
  <c r="DQ1" i="5"/>
  <c r="DR1" i="5"/>
  <c r="DS1" i="5"/>
  <c r="DT1" i="5"/>
  <c r="DU1" i="5"/>
  <c r="DV1" i="5"/>
  <c r="DW1" i="5"/>
  <c r="DX1" i="5"/>
  <c r="DY1" i="5"/>
  <c r="DZ1" i="5"/>
  <c r="EA1" i="5"/>
  <c r="EB1" i="5"/>
  <c r="EC1" i="5"/>
  <c r="ED1" i="5"/>
  <c r="EE1" i="5"/>
  <c r="EF1" i="5"/>
  <c r="EG1" i="5"/>
  <c r="EH1" i="5"/>
  <c r="EI1" i="5"/>
  <c r="EJ1" i="5"/>
  <c r="EK1" i="5"/>
  <c r="EL1" i="5"/>
  <c r="EM1" i="5"/>
  <c r="EN1" i="5"/>
  <c r="EO1" i="5"/>
  <c r="EP1" i="5"/>
  <c r="EQ1" i="5"/>
  <c r="ER1" i="5"/>
  <c r="ES1" i="5"/>
  <c r="ET1" i="5"/>
  <c r="EU1" i="5"/>
  <c r="EV1" i="5"/>
  <c r="EW1" i="5"/>
  <c r="EX1" i="5"/>
  <c r="EY1" i="5"/>
  <c r="EZ1" i="5"/>
  <c r="FA1" i="5"/>
  <c r="FB1" i="5"/>
  <c r="FC1" i="5"/>
  <c r="FD1" i="5"/>
  <c r="FE1" i="5"/>
  <c r="FF1" i="5"/>
  <c r="FG1" i="5"/>
  <c r="FH1" i="5"/>
  <c r="FI1" i="5"/>
  <c r="FJ1" i="5"/>
  <c r="FK1" i="5"/>
  <c r="FL1" i="5"/>
  <c r="FM1" i="5"/>
  <c r="FN1" i="5"/>
  <c r="FO1" i="5"/>
  <c r="FP1" i="5"/>
  <c r="FQ1" i="5"/>
  <c r="FR1" i="5"/>
  <c r="FS1" i="5"/>
  <c r="FT1" i="5"/>
  <c r="FU1" i="5"/>
  <c r="FV1" i="5"/>
  <c r="FW1" i="5"/>
  <c r="FX1" i="5"/>
  <c r="FY1" i="5"/>
  <c r="FZ1" i="5"/>
  <c r="GA1" i="5"/>
  <c r="GB1" i="5"/>
  <c r="GC1" i="5"/>
  <c r="GD1" i="5"/>
  <c r="GE1" i="5"/>
  <c r="GF1" i="5"/>
  <c r="GG1" i="5"/>
  <c r="GH1" i="5"/>
  <c r="GI1" i="5"/>
  <c r="GJ1" i="5"/>
  <c r="GK1" i="5"/>
  <c r="GL1" i="5"/>
  <c r="GM1" i="5"/>
  <c r="GN1" i="5"/>
  <c r="GO1" i="5"/>
  <c r="GP1" i="5"/>
  <c r="GQ1" i="5"/>
  <c r="GR1" i="5"/>
  <c r="GS1" i="5"/>
  <c r="GT1" i="5"/>
  <c r="GU1" i="5"/>
  <c r="GV1" i="5"/>
  <c r="GW1" i="5"/>
  <c r="GX1" i="5"/>
  <c r="GY1" i="5"/>
  <c r="GZ1" i="5"/>
  <c r="HA1" i="5"/>
  <c r="HB1" i="5"/>
  <c r="HC1" i="5"/>
  <c r="HD1" i="5"/>
  <c r="HE1" i="5"/>
  <c r="HF1" i="5"/>
  <c r="HG1" i="5"/>
  <c r="HH1" i="5"/>
  <c r="HI1" i="5"/>
  <c r="HJ1" i="5"/>
  <c r="HK1" i="5"/>
  <c r="HL1" i="5"/>
  <c r="HM1" i="5"/>
  <c r="HN1" i="5"/>
  <c r="HO1" i="5"/>
  <c r="HP1" i="5"/>
  <c r="HQ1" i="5"/>
  <c r="HR1" i="5"/>
  <c r="HS1" i="5"/>
  <c r="HT1" i="5"/>
  <c r="HU1" i="5"/>
  <c r="HV1" i="5"/>
  <c r="HW1" i="5"/>
  <c r="HX1" i="5"/>
  <c r="HY1" i="5"/>
  <c r="HZ1" i="5"/>
  <c r="IA1" i="5"/>
  <c r="IB1" i="5"/>
  <c r="IC1" i="5"/>
  <c r="ID1" i="5"/>
  <c r="IE1" i="5"/>
  <c r="IF1" i="5"/>
  <c r="IG1" i="5"/>
  <c r="IH1" i="5"/>
  <c r="II1" i="5"/>
  <c r="IJ1" i="5"/>
  <c r="IK1" i="5"/>
  <c r="IL1" i="5"/>
  <c r="IM1" i="5"/>
  <c r="IN1" i="5"/>
  <c r="IO1" i="5"/>
  <c r="IP1" i="5"/>
  <c r="IQ1" i="5"/>
  <c r="IR1" i="5"/>
  <c r="IS1" i="5"/>
  <c r="IT1" i="5"/>
  <c r="IU1" i="5"/>
  <c r="IV1" i="5"/>
  <c r="GI14" i="5"/>
  <c r="GE14" i="5"/>
  <c r="E10" i="5"/>
  <c r="F10" i="5"/>
  <c r="H10" i="5"/>
  <c r="I10" i="5"/>
</calcChain>
</file>

<file path=xl/sharedStrings.xml><?xml version="1.0" encoding="utf-8"?>
<sst xmlns="http://schemas.openxmlformats.org/spreadsheetml/2006/main" count="1372" uniqueCount="660">
  <si>
    <t>BENETEAU Oceanis 43</t>
  </si>
  <si>
    <t>3 cabins yachts</t>
  </si>
  <si>
    <t>Price discounts:</t>
  </si>
  <si>
    <t>YACHT MODEL</t>
  </si>
  <si>
    <t>PRESTIGE LINE - MONOHULLS</t>
  </si>
  <si>
    <t>4 cabins yachts</t>
  </si>
  <si>
    <t>Should be pre-booked min. one week in advance to embarkation</t>
  </si>
  <si>
    <t>BAVARIA 45 Cruiser</t>
  </si>
  <si>
    <t>EQUIPMENT LIST:</t>
  </si>
  <si>
    <t>GENERAL SPECIFICATION:</t>
  </si>
  <si>
    <t>Payment terms:</t>
  </si>
  <si>
    <t>No of berths</t>
  </si>
  <si>
    <t>PRESTIGE LINE - CATAMARANS</t>
  </si>
  <si>
    <t>10 days charter</t>
  </si>
  <si>
    <t>2010</t>
  </si>
  <si>
    <t>Skipper</t>
  </si>
  <si>
    <t>Transfers</t>
  </si>
  <si>
    <t>One-way charters</t>
  </si>
  <si>
    <t>One-way from/to:</t>
  </si>
  <si>
    <t>Permit for regatta entrance</t>
  </si>
  <si>
    <t>AAAAAH6kRys=</t>
  </si>
  <si>
    <t>AAAAAH6kRyw=</t>
  </si>
  <si>
    <t>AAAAAG/99wA=</t>
  </si>
  <si>
    <t>AAAAAH/3eQA=</t>
  </si>
  <si>
    <t>JEANNEAU Sun Odyssey 439</t>
  </si>
  <si>
    <t>AAAAAH/3/0I=</t>
  </si>
  <si>
    <t>AAAAACjz3QA=</t>
  </si>
  <si>
    <t>AAAAAEf35hY=</t>
  </si>
  <si>
    <t>AAAAAHt3uwA=</t>
  </si>
  <si>
    <t>AAAAAF/n7wA=</t>
  </si>
  <si>
    <t>AAAAAC/3UwA=</t>
  </si>
  <si>
    <t>AAAAAH/nZQA=</t>
  </si>
  <si>
    <t>VIP Pack - get the treatment you deserve</t>
  </si>
  <si>
    <t>AAAAAHr/vj8=</t>
  </si>
  <si>
    <t>AAAAAH/dzVg=</t>
  </si>
  <si>
    <t>AAAAAHv/HgA=</t>
  </si>
  <si>
    <t>AAAAAF7+/gA=</t>
  </si>
  <si>
    <t>AAAAAD/+7gA=</t>
  </si>
  <si>
    <t>AAAAAE3/awA=</t>
  </si>
  <si>
    <t>AAAAAE7/FfU=</t>
  </si>
  <si>
    <t>AAAAAHZN9QA=</t>
  </si>
  <si>
    <t>AAAAAHu7/wA=</t>
  </si>
  <si>
    <t>AAAAACvOfgo=</t>
  </si>
  <si>
    <t>AAAAAB973Qs=</t>
  </si>
  <si>
    <t>AAAAAA9/fRY=</t>
  </si>
  <si>
    <t>AAAAAGn/hQA=</t>
  </si>
  <si>
    <t>AAAAAH//BwA=</t>
  </si>
  <si>
    <t>2008</t>
  </si>
  <si>
    <t>AAAAAGvav+s=</t>
  </si>
  <si>
    <t>AAAAAF/dPwA=</t>
  </si>
  <si>
    <t>AAAAAG/j1wA=</t>
  </si>
  <si>
    <t>AAAAAH+f/tw=</t>
  </si>
  <si>
    <t>AAAAAH/8vxY=</t>
  </si>
  <si>
    <t>BENETEAU Oceanis 45</t>
  </si>
  <si>
    <t>AAAAACt3g0I=</t>
  </si>
  <si>
    <t>AAAAAH3H2w8=</t>
  </si>
  <si>
    <t>AAAAAH/y2hA=</t>
  </si>
  <si>
    <t>Year of prod.</t>
  </si>
  <si>
    <t>** Equipped with generator</t>
  </si>
  <si>
    <t>*** Equipped with air-condition, generator</t>
  </si>
  <si>
    <t>* Equipped with air-condition</t>
  </si>
  <si>
    <t xml:space="preserve">Split Airport - Trogir Marina </t>
  </si>
  <si>
    <t>Zadar Airport - Trogir Marina</t>
  </si>
  <si>
    <t>5 cabins yachts</t>
  </si>
  <si>
    <t>BAVARIA 38 Cruiser</t>
  </si>
  <si>
    <t>General Charter Conditions - Valid for all bases in Croatia:</t>
  </si>
  <si>
    <t>5% - two weeks charter</t>
  </si>
  <si>
    <t>10% - three weeks charter</t>
  </si>
  <si>
    <t>5% - for bookings on nautical fairs / boats shows</t>
  </si>
  <si>
    <t>50% at reservation</t>
  </si>
  <si>
    <t>No extra charge</t>
  </si>
  <si>
    <t>Embarkation:</t>
  </si>
  <si>
    <t>Disembarkation:</t>
  </si>
  <si>
    <t xml:space="preserve">Saturday after 17.00
</t>
  </si>
  <si>
    <t>Make reservation at least 2 months in advance so we can prepare desired yachts on time!</t>
  </si>
  <si>
    <t>Proof of competence</t>
  </si>
  <si>
    <t>Parking</t>
  </si>
  <si>
    <t>TROGIR, Yacht Club Seget</t>
  </si>
  <si>
    <t>Secured parking available in all bases. Payment at the marina reception!</t>
  </si>
  <si>
    <t>At least one crew member has to display a original of a valid sailing and VHF licence.</t>
  </si>
  <si>
    <t>JEANNEAU Performance 53*</t>
  </si>
  <si>
    <t xml:space="preserve"> </t>
  </si>
  <si>
    <t>JEANNEAU SUN ODYSSEY 509</t>
  </si>
  <si>
    <t>HANSE 545</t>
  </si>
  <si>
    <t>BENETEAU Oceanis 48</t>
  </si>
  <si>
    <t>JEANNEAU Sun Odyssey 469</t>
  </si>
  <si>
    <t>2014</t>
  </si>
  <si>
    <t>other special discounts upon request!</t>
  </si>
  <si>
    <t>All prices in EUR per week including 13% Croatian VAT****</t>
  </si>
  <si>
    <t>HANSE 575***</t>
  </si>
  <si>
    <t>BAVARIA 46 Vision***</t>
  </si>
  <si>
    <t>Bow thruster is installed on all yachts with build year 2009 or newer and also on all yachts over 43ft before that</t>
  </si>
  <si>
    <t>'S' = Boat available bareboat but with detailed skipper license and experience check!</t>
  </si>
  <si>
    <t>159 EUR/charter</t>
  </si>
  <si>
    <t>The All inclusive package is not included in the above prices but will be added in your invoice!</t>
  </si>
  <si>
    <t>8+1(SC)</t>
  </si>
  <si>
    <t>(SC)=Skipper cabin</t>
  </si>
  <si>
    <t>Includes 2 donuts, 1 wakeboard, 1 pair of water skis, bigger rib with stronger outboard engine (50hp). Please note that the bigger rib is to be towed!</t>
  </si>
  <si>
    <t>Year of production</t>
  </si>
  <si>
    <t>Deposit</t>
  </si>
  <si>
    <t>General Charter Conditions</t>
  </si>
  <si>
    <t>Comfort package (will be added on the invoice)</t>
  </si>
  <si>
    <t>Security deposit:</t>
  </si>
  <si>
    <t>4+2</t>
  </si>
  <si>
    <t>Hostess/Cook</t>
  </si>
  <si>
    <t>Payment terms</t>
  </si>
  <si>
    <t>Disembarkation</t>
  </si>
  <si>
    <t>50% 40 days before departure</t>
  </si>
  <si>
    <t>PHUKET, Yacht Haven Marina</t>
  </si>
  <si>
    <t>All prices in EUR per week including 7 % Thai VAT</t>
  </si>
  <si>
    <t>LAGOON 450*</t>
  </si>
  <si>
    <t>LAGOON 400*</t>
  </si>
  <si>
    <t>*Air-condition and generator</t>
  </si>
  <si>
    <t>Yacht and area briefing, standard-equipment, navigation &amp; toolkit, masks/snorkels, dinghy with engine, cleaning, towels, bed linen, all taxes.</t>
  </si>
  <si>
    <t xml:space="preserve">Optional Services                                                                                                        </t>
  </si>
  <si>
    <t>1.190 EUR / week+ nourishing</t>
  </si>
  <si>
    <t>840 EUR / week+ nourishing</t>
  </si>
  <si>
    <t>Crew (optional)</t>
  </si>
  <si>
    <t>Included in the price: services of Captain and Chef 3 big meals per day &amp; snacks, running cost of yacht (fuel and water), unlimited coffee, tea and drinking water. 2 berths for the crewmembers will be taken from the total number of berths. For a detailed offer refer to: thailand@navigare-yachting.com</t>
  </si>
  <si>
    <t>Use of AC/G</t>
  </si>
  <si>
    <t xml:space="preserve">Generator &amp; air-conditioning in saloon and each cabin &amp; watermaker is available at €5 per running hour of generator (excl. diesel) </t>
  </si>
  <si>
    <t>Recreational gear</t>
  </si>
  <si>
    <t>Transfer</t>
  </si>
  <si>
    <t>Price on request!</t>
  </si>
  <si>
    <t>Embarkation</t>
  </si>
  <si>
    <t>Any day in the week at 12.00 pm</t>
  </si>
  <si>
    <t xml:space="preserve">Charters start always 1 day after the previous charter. </t>
  </si>
  <si>
    <t>3 days minimum booking except in period 24/12-5/1 min 7 days</t>
  </si>
  <si>
    <t>Visa and MasterCard (not AmEx)</t>
  </si>
  <si>
    <t>Coastal skipper certification from a recognized sailing school and/or previous charter-experience on yachts of similar size.</t>
  </si>
  <si>
    <t xml:space="preserve">All prices in EUR per week </t>
  </si>
  <si>
    <t>LAGOON 450 *</t>
  </si>
  <si>
    <t>JEANNEAU Sun Odyssey 509</t>
  </si>
  <si>
    <t>Crew</t>
  </si>
  <si>
    <t>RENTAL EQUIPMENT:</t>
  </si>
  <si>
    <t xml:space="preserve">Charters start always 2 days after the previous charter. </t>
  </si>
  <si>
    <t>3 days minimum booking except in period 16.12. - 01.01./ 01.02. - 31.03.  min 7 days</t>
  </si>
  <si>
    <t>* 
- no deposit in cash or via credit cards needed
- no hidden costs 
- all damages covered
- no money blocked
- faster check in
- no check-out procedure
- no insurance needed</t>
  </si>
  <si>
    <t>Trogir - Dubrovnik</t>
  </si>
  <si>
    <t>JEANNEAU 57 *** 'S'</t>
  </si>
  <si>
    <t>2012</t>
  </si>
  <si>
    <t>BAVARIA 41</t>
  </si>
  <si>
    <t>OCEANIS 55</t>
  </si>
  <si>
    <t>2014/15</t>
  </si>
  <si>
    <t>NAUTITECH 40 Open</t>
  </si>
  <si>
    <t>50% at reservation / 50% 40 days before departure</t>
  </si>
  <si>
    <t>Cabins</t>
  </si>
  <si>
    <t>5+2</t>
  </si>
  <si>
    <t>5+1</t>
  </si>
  <si>
    <t>8+ 2(S)+ 1(SC)+ 1(SC)</t>
  </si>
  <si>
    <t>10+ 2(S)+ 1(SC)</t>
  </si>
  <si>
    <t>max pax allowed*</t>
  </si>
  <si>
    <t>4+1</t>
  </si>
  <si>
    <t>3+1</t>
  </si>
  <si>
    <t>8+ 2(S)+ 1(SC)</t>
  </si>
  <si>
    <t>8+ 2(S)+ 2(SC)</t>
  </si>
  <si>
    <t>4</t>
  </si>
  <si>
    <t>8+ 2(S)</t>
  </si>
  <si>
    <t>10+ 2 (S)</t>
  </si>
  <si>
    <t>6+ 2(S)</t>
  </si>
  <si>
    <t>2011/12</t>
  </si>
  <si>
    <r>
      <t xml:space="preserve">1.190 EUR </t>
    </r>
    <r>
      <rPr>
        <sz val="12"/>
        <rFont val="Garamond"/>
        <family val="1"/>
      </rPr>
      <t>/ week + nourishing</t>
    </r>
  </si>
  <si>
    <r>
      <t xml:space="preserve">Railing net </t>
    </r>
    <r>
      <rPr>
        <b/>
        <sz val="12"/>
        <rFont val="Garamond"/>
        <family val="1"/>
      </rPr>
      <t>100 EUR</t>
    </r>
    <r>
      <rPr>
        <sz val="12"/>
        <rFont val="Garamond"/>
        <family val="1"/>
      </rPr>
      <t>/per charter</t>
    </r>
  </si>
  <si>
    <r>
      <t xml:space="preserve">Extra linen and towels </t>
    </r>
    <r>
      <rPr>
        <b/>
        <sz val="12"/>
        <rFont val="Garamond"/>
        <family val="1"/>
      </rPr>
      <t>5 EUR</t>
    </r>
    <r>
      <rPr>
        <sz val="12"/>
        <rFont val="Garamond"/>
        <family val="1"/>
      </rPr>
      <t xml:space="preserve">/per person </t>
    </r>
  </si>
  <si>
    <r>
      <t xml:space="preserve">Stand up paddle board </t>
    </r>
    <r>
      <rPr>
        <b/>
        <sz val="12"/>
        <rFont val="Garamond"/>
        <family val="1"/>
      </rPr>
      <t>100 EUR</t>
    </r>
    <r>
      <rPr>
        <sz val="12"/>
        <rFont val="Garamond"/>
        <family val="1"/>
      </rPr>
      <t>/per week</t>
    </r>
  </si>
  <si>
    <r>
      <t xml:space="preserve">Kayak  </t>
    </r>
    <r>
      <rPr>
        <b/>
        <sz val="12"/>
        <rFont val="Garamond"/>
        <family val="1"/>
      </rPr>
      <t>20 EUR</t>
    </r>
    <r>
      <rPr>
        <sz val="12"/>
        <rFont val="Garamond"/>
        <family val="1"/>
      </rPr>
      <t>/kayak per day</t>
    </r>
  </si>
  <si>
    <r>
      <t xml:space="preserve">Fishing gear </t>
    </r>
    <r>
      <rPr>
        <b/>
        <sz val="12"/>
        <rFont val="Garamond"/>
        <family val="1"/>
      </rPr>
      <t>20 EUR</t>
    </r>
    <r>
      <rPr>
        <sz val="12"/>
        <rFont val="Garamond"/>
        <family val="1"/>
      </rPr>
      <t>/person per day</t>
    </r>
  </si>
  <si>
    <r>
      <t xml:space="preserve">Railing net </t>
    </r>
    <r>
      <rPr>
        <b/>
        <sz val="12"/>
        <rFont val="Garamond"/>
        <family val="1"/>
      </rPr>
      <t>100 EUR/</t>
    </r>
    <r>
      <rPr>
        <sz val="12"/>
        <rFont val="Garamond"/>
        <family val="1"/>
      </rPr>
      <t>per charter</t>
    </r>
  </si>
  <si>
    <r>
      <t xml:space="preserve">Provisioning </t>
    </r>
    <r>
      <rPr>
        <b/>
        <sz val="12"/>
        <rFont val="Garamond"/>
        <family val="1"/>
      </rPr>
      <t>90 EUR</t>
    </r>
    <r>
      <rPr>
        <sz val="12"/>
        <rFont val="Garamond"/>
        <family val="1"/>
      </rPr>
      <t xml:space="preserve"> service fee</t>
    </r>
  </si>
  <si>
    <t>6+ 2(S)+ 1(SC)+ 1(SC)</t>
  </si>
  <si>
    <t>8+ 1(S)+ 1(SC)</t>
  </si>
  <si>
    <t>10+ 2(S)+ 1(SC)+ 1(SC)</t>
  </si>
  <si>
    <r>
      <t xml:space="preserve">899 EUR/week + </t>
    </r>
    <r>
      <rPr>
        <sz val="12"/>
        <rFont val="Garamond"/>
        <family val="1"/>
      </rPr>
      <t xml:space="preserve">150 EUR  deposit </t>
    </r>
  </si>
  <si>
    <r>
      <t xml:space="preserve">Gennaker </t>
    </r>
    <r>
      <rPr>
        <b/>
        <sz val="12"/>
        <rFont val="Garamond"/>
        <family val="1"/>
      </rPr>
      <t>150 EUR</t>
    </r>
    <r>
      <rPr>
        <sz val="12"/>
        <rFont val="Garamond"/>
        <family val="1"/>
      </rPr>
      <t xml:space="preserve">/per week + 200 EUR deposit </t>
    </r>
  </si>
  <si>
    <r>
      <t xml:space="preserve">Donut </t>
    </r>
    <r>
      <rPr>
        <b/>
        <sz val="12"/>
        <rFont val="Garamond"/>
        <family val="1"/>
      </rPr>
      <t>40 EUR</t>
    </r>
    <r>
      <rPr>
        <sz val="12"/>
        <rFont val="Garamond"/>
        <family val="1"/>
      </rPr>
      <t>/per week  (includes 2 donuts)</t>
    </r>
  </si>
  <si>
    <r>
      <rPr>
        <b/>
        <sz val="12"/>
        <rFont val="Garamond"/>
        <family val="1"/>
      </rPr>
      <t>155 EUR</t>
    </r>
    <r>
      <rPr>
        <sz val="12"/>
        <rFont val="Garamond"/>
        <family val="1"/>
      </rPr>
      <t>/transfer 8 persons max</t>
    </r>
  </si>
  <si>
    <r>
      <rPr>
        <b/>
        <sz val="12"/>
        <rFont val="Garamond"/>
        <family val="1"/>
      </rPr>
      <t>240 EUR</t>
    </r>
    <r>
      <rPr>
        <sz val="12"/>
        <rFont val="Garamond"/>
        <family val="1"/>
      </rPr>
      <t xml:space="preserve"> for up to two weeks charter
</t>
    </r>
  </si>
  <si>
    <r>
      <rPr>
        <b/>
        <sz val="12"/>
        <rFont val="Garamond"/>
        <family val="1"/>
      </rPr>
      <t xml:space="preserve">310 EUR </t>
    </r>
    <r>
      <rPr>
        <sz val="12"/>
        <rFont val="Garamond"/>
        <family val="1"/>
      </rPr>
      <t xml:space="preserve">for three weeks charter
</t>
    </r>
  </si>
  <si>
    <r>
      <rPr>
        <b/>
        <sz val="12"/>
        <rFont val="Garamond"/>
        <family val="1"/>
      </rPr>
      <t>370 EUR</t>
    </r>
    <r>
      <rPr>
        <sz val="12"/>
        <rFont val="Garamond"/>
        <family val="1"/>
      </rPr>
      <t xml:space="preserve"> for four or more weeks charter</t>
    </r>
  </si>
  <si>
    <t xml:space="preserve">BAVARIA Cruiser 46 </t>
  </si>
  <si>
    <t>All inclusive package (will be added on the invoice)</t>
  </si>
  <si>
    <t>Permit for international waters/Italy (up to 12NM from the coast, no direct crossing allowed)</t>
  </si>
  <si>
    <r>
      <t xml:space="preserve">Inflatable life vests and Jackstay </t>
    </r>
    <r>
      <rPr>
        <b/>
        <sz val="12"/>
        <rFont val="Garamond"/>
        <family val="1"/>
      </rPr>
      <t>50 EUR</t>
    </r>
    <r>
      <rPr>
        <sz val="12"/>
        <rFont val="Garamond"/>
        <family val="1"/>
      </rPr>
      <t>/per charter</t>
    </r>
  </si>
  <si>
    <r>
      <t xml:space="preserve">Available on request with price calculation: (Weekly charter price / divided by 7 / multiplied by 10) +5% supplement, </t>
    </r>
    <r>
      <rPr>
        <b/>
        <sz val="12"/>
        <rFont val="Garamond"/>
        <family val="1"/>
      </rPr>
      <t>no discount applicable!</t>
    </r>
  </si>
  <si>
    <t>'S'' = Boat is only available with skipper which is included in the price</t>
  </si>
  <si>
    <r>
      <t xml:space="preserve">Dubrovnik-Trogir </t>
    </r>
    <r>
      <rPr>
        <sz val="12"/>
        <rFont val="Garamond"/>
        <family val="1"/>
      </rPr>
      <t xml:space="preserve">and vice versa </t>
    </r>
    <r>
      <rPr>
        <b/>
        <sz val="12"/>
        <rFont val="Garamond"/>
        <family val="1"/>
      </rPr>
      <t xml:space="preserve">390 EUR </t>
    </r>
    <r>
      <rPr>
        <sz val="12"/>
        <rFont val="Garamond"/>
        <family val="1"/>
      </rPr>
      <t xml:space="preserve">for yachts smaller than 40 feet, </t>
    </r>
    <r>
      <rPr>
        <b/>
        <sz val="12"/>
        <rFont val="Garamond"/>
        <family val="1"/>
      </rPr>
      <t xml:space="preserve">500 EUR </t>
    </r>
    <r>
      <rPr>
        <sz val="12"/>
        <rFont val="Garamond"/>
        <family val="1"/>
      </rPr>
      <t xml:space="preserve">for yachts 40 feet and bigger, </t>
    </r>
    <r>
      <rPr>
        <b/>
        <sz val="12"/>
        <rFont val="Garamond"/>
        <family val="1"/>
      </rPr>
      <t>610 EUR</t>
    </r>
    <r>
      <rPr>
        <sz val="12"/>
        <rFont val="Garamond"/>
        <family val="1"/>
      </rPr>
      <t xml:space="preserve"> for Catamaran</t>
    </r>
  </si>
  <si>
    <t>Adrenalin pack - for kings of waves</t>
  </si>
  <si>
    <t>Note: Adrenalin pack can not be used in Italian water territories!</t>
  </si>
  <si>
    <t>OCEANIS 60 *** 'S'</t>
  </si>
  <si>
    <t>HANSE 575*** 'S'</t>
  </si>
  <si>
    <t>2013-15</t>
  </si>
  <si>
    <t>BAVARIA 46 Vision *</t>
  </si>
  <si>
    <t>JEANNEAU 54</t>
  </si>
  <si>
    <t>Cr= Boat is only available with crew (2 crew-member) which are included in the price</t>
  </si>
  <si>
    <t>2013 - 15</t>
  </si>
  <si>
    <t>JEANNEAU Sun Odyssey 449</t>
  </si>
  <si>
    <t>All inclusive package for the Lagoon 560 S2(will be added on the invoice)</t>
  </si>
  <si>
    <t>6+2</t>
  </si>
  <si>
    <t>BAVARIA Cruiser 51</t>
  </si>
  <si>
    <t>8+1(SC)+1(SC)</t>
  </si>
  <si>
    <t>8+1</t>
  </si>
  <si>
    <t>We recommend pantaenius travel insurance (via www.pantaenius.com)</t>
  </si>
  <si>
    <t>All yachts are equipped with autopilot, GPS &amp; chart plotter, wind speed indicator, electrical windlass, VHF station, Generator &amp; Watermaker, radio &amp; CD player with USB support, speakers in saloon &amp; cockpit, deck shower, dinghy &amp; outboard engine, bimini top, sprayhood</t>
  </si>
  <si>
    <r>
      <t xml:space="preserve">Snorkeling gear </t>
    </r>
    <r>
      <rPr>
        <b/>
        <sz val="12"/>
        <rFont val="Garamond"/>
        <family val="1"/>
      </rPr>
      <t>included in the price</t>
    </r>
  </si>
  <si>
    <t>Any day in the week at 02.00 pm</t>
  </si>
  <si>
    <t xml:space="preserve">Charters can start on the same day, after the previous charter. </t>
  </si>
  <si>
    <t>Any day in the week at 08.00 am</t>
  </si>
  <si>
    <t>MALE, Hulhumale Lagoon</t>
  </si>
  <si>
    <t>NAUTITECH 40 Open *</t>
  </si>
  <si>
    <t>LAGOON 39 *</t>
  </si>
  <si>
    <t>2014 - 16</t>
  </si>
  <si>
    <t>For detailed specification for each yacht refer to: reservations@navigare-yachting.com</t>
  </si>
  <si>
    <t>LAGOON 560 **</t>
  </si>
  <si>
    <t>2016/17</t>
  </si>
  <si>
    <t>** Crewed: The charter fee includes the services of a Captain and Crew, meals, standard ship’s bar, fuel, and all expenses related to running of the vessel and use of on-board sports equipment. The charter fee does not include (optional) crew gratuities, scuba diving, scuba equipment, premium beverages and fine wines, excessive alcoholic consumption, off yacht excursions, dockage, cruising taxes and permits, telephone, airport transfers or similar expense incurred by the CHARTERER.</t>
  </si>
  <si>
    <t xml:space="preserve">Maximum discount for all other sailing-yachts is 15% </t>
  </si>
  <si>
    <t xml:space="preserve">Maximum discount for saling-yachts built 16/17 and catamarans  is 10% </t>
  </si>
  <si>
    <t>Shorter period charter</t>
  </si>
  <si>
    <t>Mandatory Services</t>
  </si>
  <si>
    <t>SLEEPABOARD FEE: 65% of the daily charter rate</t>
  </si>
  <si>
    <t>For detailed rental equipment refer to: reservations@navigare-yachting.com</t>
  </si>
  <si>
    <t>Taxi from Airport to base: 16 EUR minimum or 8 EUR per person – Payable direct to the taxi driver</t>
  </si>
  <si>
    <t>All prices in EUR per week including 12% T-GST (Maldivian Government Tax / VAT)</t>
  </si>
  <si>
    <t>50% 40 days before charter start</t>
  </si>
  <si>
    <t>1.000 EUR / week + nourishing</t>
  </si>
  <si>
    <t>COOK: 150 EUR per night + meals  + gratuity</t>
  </si>
  <si>
    <t>BENETEAU Oceanis 41.1</t>
  </si>
  <si>
    <t>2015/17</t>
  </si>
  <si>
    <t>2014/16</t>
  </si>
  <si>
    <t>2015/16</t>
  </si>
  <si>
    <t>6 cabins yachts</t>
  </si>
  <si>
    <t>JEANNEAU 64*** 'S'</t>
  </si>
  <si>
    <t>2013/14</t>
  </si>
  <si>
    <t>JEANNEAU SUN ODYSSEY 519***</t>
  </si>
  <si>
    <t>2016</t>
  </si>
  <si>
    <t>JEANNEAU SUN ODYSSEY 519</t>
  </si>
  <si>
    <t>2013-14</t>
  </si>
  <si>
    <t>LAGOON 560 S***Cr</t>
  </si>
  <si>
    <t>10+2Cr</t>
  </si>
  <si>
    <t>10+2(S)+ 1(SC)+ 1(SC)</t>
  </si>
  <si>
    <t>12+2(S)+ 1(SC)+ 1(SC)</t>
  </si>
  <si>
    <t>LAGOON 450 S2</t>
  </si>
  <si>
    <t>LAGOON 450 F</t>
  </si>
  <si>
    <t>LAGOON 450***</t>
  </si>
  <si>
    <t>LAGOON 400-S2</t>
  </si>
  <si>
    <t>3+2</t>
  </si>
  <si>
    <t>LAGOON 39</t>
  </si>
  <si>
    <t>10;12</t>
  </si>
  <si>
    <t xml:space="preserve">Optional Services </t>
  </si>
  <si>
    <t xml:space="preserve">Generator &amp; air-conditioning in saloon and each cabin &amp; watermaker will be charged €5 per running hour of generator (excl. diesel) </t>
  </si>
  <si>
    <t>50% at reservation (with in 10 days)</t>
  </si>
  <si>
    <t>50% 90 days before departure</t>
  </si>
  <si>
    <t xml:space="preserve">Maximum discount for the season 17/18  is 10% </t>
  </si>
  <si>
    <t>LEOPARD 38*'S'</t>
  </si>
  <si>
    <t>'S' = Boat available bareboat but with detailed skipper license and experience check; otherwise guide or skipper is mandatory!</t>
  </si>
  <si>
    <t>Provisioning NOTE:</t>
  </si>
  <si>
    <r>
      <t xml:space="preserve">Fishing gear </t>
    </r>
    <r>
      <rPr>
        <b/>
        <sz val="12"/>
        <rFont val="Garamond"/>
        <family val="1"/>
      </rPr>
      <t>20 EUR / person per day</t>
    </r>
  </si>
  <si>
    <t>90 EUR service fee / NOTE: Alcohol can only be ordered via provisioning list 2 weeks in advance max.</t>
  </si>
  <si>
    <t>The APA amount is used to cover all expenses during the course of the charter such as fuel, food, beverages, mooring fee and other expenses not included in the Charter Fee. The captain of the yacht is responsible for accounting for all APA expenses during the charter, and the breakdown will be presented to the client at the end of the charter. If the costs during the charter are less than the APA deposit, then the difference will be refunded to the Charterer at the end of the charter. If the costs during the charter are higher than the APA deposit then this difference will be paid by the Charterer at the end of the charter.</t>
  </si>
  <si>
    <t>21.12.2017 - 4.1.2018</t>
  </si>
  <si>
    <t>5.1.2018 - 14.3.2018</t>
  </si>
  <si>
    <t>15.3.2018 - 30.04.2018</t>
  </si>
  <si>
    <t>1.5.2018 - 31.10.2018</t>
  </si>
  <si>
    <t>1.11.2018 - 20.12.2018</t>
  </si>
  <si>
    <r>
      <t xml:space="preserve">20 EUR </t>
    </r>
    <r>
      <rPr>
        <sz val="12"/>
        <rFont val="Garamond"/>
        <family val="1"/>
      </rPr>
      <t>/ up to 3 persons</t>
    </r>
  </si>
  <si>
    <r>
      <t xml:space="preserve">40 EUR </t>
    </r>
    <r>
      <rPr>
        <sz val="12"/>
        <rFont val="Garamond"/>
        <family val="1"/>
      </rPr>
      <t>/ 4 - 8 persons</t>
    </r>
  </si>
  <si>
    <t xml:space="preserve">Mandatory Services                                                                                              </t>
  </si>
  <si>
    <r>
      <rPr>
        <b/>
        <sz val="12"/>
        <rFont val="Garamond"/>
        <family val="1"/>
      </rPr>
      <t xml:space="preserve">529 EUR / </t>
    </r>
    <r>
      <rPr>
        <sz val="12"/>
        <rFont val="Garamond"/>
        <family val="1"/>
      </rPr>
      <t>charter</t>
    </r>
  </si>
  <si>
    <t>Provisioning: 100 EUR</t>
  </si>
  <si>
    <t>SKIPPER: 170 EUR per day + meals  + gratuity</t>
  </si>
  <si>
    <t>Provisioning</t>
  </si>
  <si>
    <t>Additional WIFI</t>
  </si>
  <si>
    <t xml:space="preserve">35 EUR / Additional 10 GB </t>
  </si>
  <si>
    <t xml:space="preserve">60 EUR / Additional 20 GB </t>
  </si>
  <si>
    <t xml:space="preserve">80 EUR / Additional 30 GB </t>
  </si>
  <si>
    <t>Visa and MasterCard (not AmEx) or in cash. Please note when leaving deposit with CreditCard, 1 EUR will be charged at the End of the charter in order to speed up the unblocking process. Otherwise the authorization time is 4 weeks according to law in Maldives.</t>
  </si>
  <si>
    <t>Includes welcome package (1L orange, 1.5L water, 4 toilet paper rolls, 1 sponge, 1 detergent bottle),  free wifi on board (5GB), full water tank, 1 tank of cooking gas, out board engine with petrol and dinghy, snorkelling equipent, administration charges, tranportation to airport and green tax.</t>
  </si>
  <si>
    <t>30 EUR / 5 GB</t>
  </si>
  <si>
    <t xml:space="preserve">Coastal skipper certification from a recognized sailing school and/or previous charter-experience on yachts of similar size and similar destinations.  Temp Maldives Liscence is 100 EUR
</t>
  </si>
  <si>
    <t>CRUISING TAX:</t>
  </si>
  <si>
    <t>5,5 EUR / 6 USD per day/per pax</t>
  </si>
  <si>
    <r>
      <t xml:space="preserve">Includes security deposit/full coverage*  - NEW!, welcome package, ﬁnal cleaning, bed sheets &amp; towels, dinghy, outboard engine &amp; fuel, propane gas, full water tanks, snorkelling equipment, prepaid BVI mobile phone and weather forecast SMS on daily basis, National parks permits, VISAR and  </t>
    </r>
    <r>
      <rPr>
        <b/>
        <sz val="12"/>
        <rFont val="Garamond"/>
        <family val="1"/>
      </rPr>
      <t xml:space="preserve">free Wi-Fi Internet on board (10 GB). Yacht Fuel is not included – </t>
    </r>
    <r>
      <rPr>
        <sz val="12"/>
        <rFont val="Garamond"/>
        <family val="1"/>
      </rPr>
      <t xml:space="preserve">the fuel tank will be fill when you charter starts and you are responsible for topping off the fuel tank at the end of your charter.                                 </t>
    </r>
    <r>
      <rPr>
        <b/>
        <sz val="12"/>
        <rFont val="Garamond"/>
        <family val="1"/>
      </rPr>
      <t>CRUISING TAX is not included</t>
    </r>
  </si>
  <si>
    <t>1.1.-28.4.</t>
  </si>
  <si>
    <t>28.4.-19.5.</t>
  </si>
  <si>
    <t>19.5.-2.6.</t>
  </si>
  <si>
    <t>2.6.-23.6.</t>
  </si>
  <si>
    <t>30.6.-11.8.</t>
  </si>
  <si>
    <t>23.6.-30.6.</t>
  </si>
  <si>
    <t>6.10.-31.12.</t>
  </si>
  <si>
    <t>29.9.-6.10.</t>
  </si>
  <si>
    <t>22.9.-29.9.</t>
  </si>
  <si>
    <t>15.9.-22.9.</t>
  </si>
  <si>
    <t>11.8.-15.9.</t>
  </si>
  <si>
    <t>LAGOON 42 NEW</t>
  </si>
  <si>
    <t>BAVARIA 57*** NEW</t>
  </si>
  <si>
    <t>JEANNEAU Sun Odyssey 440 NEW</t>
  </si>
  <si>
    <t>2018</t>
  </si>
  <si>
    <t>DUBROVNIK, ACI</t>
  </si>
  <si>
    <t>TAILORED CHARTERS</t>
  </si>
  <si>
    <t>FRIDAY/MONDAY CHECK-IN/OUT</t>
  </si>
  <si>
    <t xml:space="preserve">1) Friday – Monday | Weekend
     Check in – 14h
     Check out – 09h
50% of the weekly charter price (no discount applicable)
Weekend All-inclusive prices:
380 EUR / charter boats up to 49 ft     
480 EUR / charter boats for from 50ft     
480 EUR / charter for catamarans up to 45ft     
540 EUR / charter for catamarans from 46ft          
2) Monday – Friday | Workweek
     Check in – 14h
     Check out – 09h
70% of the weekly charter price
3) Friday – Monday – 10 days
     Check in – 14h
     Check out – 09h
10 day charters possible without surcharge.
4) Mon|Mon or Fri|Fri – 7 days
     Check in – 14h
     Check out – 09h
</t>
  </si>
  <si>
    <t>2,5% - repeated clients</t>
  </si>
  <si>
    <t xml:space="preserve">850 EUR / per charter </t>
  </si>
  <si>
    <t>LAGOON 52 F * NEW</t>
  </si>
  <si>
    <t>LAGOON 450 F * NEW</t>
  </si>
  <si>
    <t>LAGOON 42 * NEW</t>
  </si>
  <si>
    <t>Extras</t>
  </si>
  <si>
    <r>
      <t xml:space="preserve">WIFI </t>
    </r>
    <r>
      <rPr>
        <b/>
        <sz val="12"/>
        <rFont val="Garamond"/>
        <family val="1"/>
      </rPr>
      <t xml:space="preserve">5 EUR/ </t>
    </r>
    <r>
      <rPr>
        <sz val="12"/>
        <rFont val="Garamond"/>
        <family val="1"/>
      </rPr>
      <t>per day</t>
    </r>
    <r>
      <rPr>
        <b/>
        <sz val="12"/>
        <rFont val="Garamond"/>
        <family val="1"/>
      </rPr>
      <t xml:space="preserve">    
</t>
    </r>
  </si>
  <si>
    <t>15.3.2018 - 30.4.2018</t>
  </si>
  <si>
    <t xml:space="preserve"> 1.11.2018 - 20.12.2018</t>
  </si>
  <si>
    <t xml:space="preserve">Maximum discount for saling-yachts built 17/18 and catamarans  is 10% </t>
  </si>
  <si>
    <r>
      <rPr>
        <b/>
        <sz val="12"/>
        <rFont val="Garamond"/>
        <family val="1"/>
      </rPr>
      <t xml:space="preserve">430 EUR </t>
    </r>
    <r>
      <rPr>
        <sz val="12"/>
        <rFont val="Garamond"/>
        <family val="1"/>
      </rPr>
      <t>/ per week boats up to 49 ft</t>
    </r>
  </si>
  <si>
    <r>
      <rPr>
        <b/>
        <sz val="12"/>
        <rFont val="Garamond"/>
        <family val="1"/>
      </rPr>
      <t xml:space="preserve">530 EUR </t>
    </r>
    <r>
      <rPr>
        <sz val="12"/>
        <rFont val="Garamond"/>
        <family val="1"/>
      </rPr>
      <t>/ per week boats for from 50ft</t>
    </r>
  </si>
  <si>
    <r>
      <rPr>
        <b/>
        <sz val="12"/>
        <rFont val="Garamond"/>
        <family val="1"/>
      </rPr>
      <t>530</t>
    </r>
    <r>
      <rPr>
        <sz val="12"/>
        <rFont val="Garamond"/>
        <family val="1"/>
      </rPr>
      <t xml:space="preserve"> </t>
    </r>
    <r>
      <rPr>
        <b/>
        <sz val="12"/>
        <rFont val="Garamond"/>
        <family val="1"/>
      </rPr>
      <t>EUR</t>
    </r>
    <r>
      <rPr>
        <sz val="12"/>
        <rFont val="Garamond"/>
        <family val="1"/>
      </rPr>
      <t xml:space="preserve"> / per week for catamarans up to 45ft</t>
    </r>
  </si>
  <si>
    <r>
      <rPr>
        <b/>
        <sz val="12"/>
        <rFont val="Garamond"/>
        <family val="1"/>
      </rPr>
      <t>590</t>
    </r>
    <r>
      <rPr>
        <sz val="12"/>
        <rFont val="Garamond"/>
        <family val="1"/>
      </rPr>
      <t xml:space="preserve"> </t>
    </r>
    <r>
      <rPr>
        <b/>
        <sz val="12"/>
        <rFont val="Garamond"/>
        <family val="1"/>
      </rPr>
      <t>EUR</t>
    </r>
    <r>
      <rPr>
        <sz val="12"/>
        <rFont val="Garamond"/>
        <family val="1"/>
      </rPr>
      <t xml:space="preserve"> / per week for catamarans from 46ft</t>
    </r>
  </si>
  <si>
    <t>5% - for bookings on nautical fairs / boats shows  (can be added on max discount!)</t>
  </si>
  <si>
    <t xml:space="preserve">2,5% - repeated clients </t>
  </si>
  <si>
    <t>JEANNEAU Sun Odyssey 419 NEW</t>
  </si>
  <si>
    <t>All prices in EUR per week including 12 % Greek VAT</t>
  </si>
  <si>
    <t>1.1-21.4.</t>
  </si>
  <si>
    <t>21.4. - 28.4.</t>
  </si>
  <si>
    <t>28.4. - 19.5.</t>
  </si>
  <si>
    <t>19.5. - 9.6.</t>
  </si>
  <si>
    <t>9.6. - 7.7.</t>
  </si>
  <si>
    <t>7.7. - 4.8.</t>
  </si>
  <si>
    <t>4.8. - 18.8.</t>
  </si>
  <si>
    <t>18.8. - 15.9.</t>
  </si>
  <si>
    <t>201.10.-31.12.</t>
  </si>
  <si>
    <t>13.10.-20.10.</t>
  </si>
  <si>
    <t>29.9. - 13.10.</t>
  </si>
  <si>
    <t>15.9. - 29.9.</t>
  </si>
  <si>
    <t>5 &amp; 6 cabins yachts</t>
  </si>
  <si>
    <t>BAVARIA 51</t>
  </si>
  <si>
    <t>2015</t>
  </si>
  <si>
    <t>5</t>
  </si>
  <si>
    <t>BAVARIA 50</t>
  </si>
  <si>
    <t>JEANNEAU SUN ODYSSEY 519*</t>
  </si>
  <si>
    <t>2017</t>
  </si>
  <si>
    <t>4 + 1</t>
  </si>
  <si>
    <t>BAVARIA 46 Cruiser</t>
  </si>
  <si>
    <t>BAVARIA 45</t>
  </si>
  <si>
    <t>2011</t>
  </si>
  <si>
    <t>BAVARIA 40</t>
  </si>
  <si>
    <t>3</t>
  </si>
  <si>
    <t>* Equipped with air-condition and generator                                                                                                                                        The comfort package is not included in the above prices but will be added in your invoice</t>
  </si>
  <si>
    <t>The comfort package is not included in the above prices but will be added in your invoice!</t>
  </si>
  <si>
    <t>All yachts are equipped with autopilot, GPS &amp; chart plotter, echo sound and wind speed indicator, electrical windlass, VHF station, EPIRB, 220 V shore supply &amp; battery charger, radio &amp; CD player, speakers in saloon &amp; cockpit, warm water supply in heads &amp; galley, dinghy &amp; outboard engine, bimini top, sprayhood</t>
  </si>
  <si>
    <t>Bow thruster is installed on all yachts with build year 2008 or newer and also on all yachts over 43ft before that</t>
  </si>
  <si>
    <r>
      <rPr>
        <b/>
        <sz val="12"/>
        <color indexed="8"/>
        <rFont val="Garamond"/>
        <family val="1"/>
      </rPr>
      <t>Saronic area</t>
    </r>
    <r>
      <rPr>
        <sz val="12"/>
        <color indexed="8"/>
        <rFont val="Garamond"/>
        <family val="1"/>
      </rPr>
      <t xml:space="preserve"> = Our main sailing area with quick response time in case of required assistance. However, in case of larger distances, like Cyclades, and tougher conditions, intervention time may take longer.</t>
    </r>
  </si>
  <si>
    <t>CONDITIONS DEPOSIT ELIMINATION</t>
  </si>
  <si>
    <t>Covered are all damages and losses except:
 - Damages caused by gross negligence
 - Loss of the anchor and chain
 - Damages on hull and steering system
 - Loss and total damage of the dinghy and outboard engine
The deductible in every case of loss or damage amounts to 75,00 EUR meaning that all other damages or losses that occur during the trip will be charged with maximum 75 EUR per damage. However, if the damage or loss is worth less then 75 EUR a real damage value will be charged. During regatta sailing (competition) the deductible is 10 % of the deposit, However at least 150,00 EUR.
In case of gross negligence the client is maximally responsible towards Navigare Yachting with the normal deposit amount according to the price list which can be from 1.500 up to 2.500 EUR</t>
  </si>
  <si>
    <t>Optional Services</t>
  </si>
  <si>
    <r>
      <t xml:space="preserve">Gennaker </t>
    </r>
    <r>
      <rPr>
        <b/>
        <sz val="12"/>
        <rFont val="Garamond"/>
        <family val="1"/>
      </rPr>
      <t>150 EUR</t>
    </r>
    <r>
      <rPr>
        <sz val="12"/>
        <rFont val="Garamond"/>
        <family val="1"/>
      </rPr>
      <t>/per week + 200 EUR addition to the sec deposit</t>
    </r>
  </si>
  <si>
    <r>
      <t xml:space="preserve">Kayak </t>
    </r>
    <r>
      <rPr>
        <b/>
        <sz val="12"/>
        <rFont val="Garamond"/>
        <family val="1"/>
      </rPr>
      <t>80 EUR</t>
    </r>
    <r>
      <rPr>
        <sz val="12"/>
        <rFont val="Garamond"/>
        <family val="1"/>
      </rPr>
      <t>/per week</t>
    </r>
  </si>
  <si>
    <t>50% four weeks before charter start</t>
  </si>
  <si>
    <r>
      <rPr>
        <b/>
        <sz val="12"/>
        <rFont val="Garamond"/>
        <family val="1"/>
      </rPr>
      <t xml:space="preserve">165 EUR </t>
    </r>
    <r>
      <rPr>
        <sz val="12"/>
        <rFont val="Garamond"/>
        <family val="1"/>
      </rPr>
      <t xml:space="preserve">/ charter for boats up to 42ft
</t>
    </r>
  </si>
  <si>
    <t>Includes welcome package, ﬁnal cleaning, bed sheets &amp; towels, dinghy, outboard engine &amp; fuel, gas, full water tanks, snorkelling equipment, prepaid Greek mobile phone and weather forecast SMS on daily basis,  free Wi-Fi Internet on board.</t>
  </si>
  <si>
    <r>
      <rPr>
        <b/>
        <sz val="12"/>
        <rFont val="Garamond"/>
        <family val="1"/>
      </rPr>
      <t xml:space="preserve">200 EUR </t>
    </r>
    <r>
      <rPr>
        <sz val="12"/>
        <rFont val="Garamond"/>
        <family val="1"/>
      </rPr>
      <t>/ charter for boats from 42ft - 50 ft</t>
    </r>
  </si>
  <si>
    <r>
      <rPr>
        <b/>
        <sz val="12"/>
        <rFont val="Garamond"/>
        <family val="1"/>
      </rPr>
      <t xml:space="preserve">235 EUR </t>
    </r>
    <r>
      <rPr>
        <sz val="12"/>
        <rFont val="Garamond"/>
        <family val="1"/>
      </rPr>
      <t>/ charter for boats from 50ft and all catamarans</t>
    </r>
  </si>
  <si>
    <t>Only credit cards – VISA or MasterCard</t>
  </si>
  <si>
    <t>At least one crew member must display a original of a valid sailing licence and at least one crew member has to proove his or her sailing experience.</t>
  </si>
  <si>
    <t>Available on request with price calculation: (Weekly charter price / divided by 7 / multiplied by 10) +5% supplementno discount applicable!</t>
  </si>
  <si>
    <t>February and March charters</t>
  </si>
  <si>
    <t>2014-16</t>
  </si>
  <si>
    <t>5% - for bookings on nautical fairs / boats shows (can be added on max discount!)</t>
  </si>
  <si>
    <t>STOCKHOLM/Lidingö-Gåshaga</t>
  </si>
  <si>
    <t>All prices in EUR per week including 25 % Swedish VAT</t>
  </si>
  <si>
    <t>21.4. - 9.6.</t>
  </si>
  <si>
    <t>9.6 - 16.6.</t>
  </si>
  <si>
    <t>16.6. - 7.7.</t>
  </si>
  <si>
    <t xml:space="preserve">7.7. - 28.7. </t>
  </si>
  <si>
    <t>28.7. - 11.8.</t>
  </si>
  <si>
    <t>26.8. 7.10.</t>
  </si>
  <si>
    <t>11.8. - 25.8.</t>
  </si>
  <si>
    <t>2007/08</t>
  </si>
  <si>
    <t>10+ 1 (S)</t>
  </si>
  <si>
    <t>BAVARIA 46</t>
  </si>
  <si>
    <t>8+ 1(S)</t>
  </si>
  <si>
    <t>BAVARIA 42</t>
  </si>
  <si>
    <t>6+ 1(S)</t>
  </si>
  <si>
    <t>SUN ODYSSEY 42 DS</t>
  </si>
  <si>
    <t>ARCONA 400</t>
  </si>
  <si>
    <t>2004</t>
  </si>
  <si>
    <t>OCEANIS 40</t>
  </si>
  <si>
    <t>DUFOUR GL 375</t>
  </si>
  <si>
    <t>BAVARIA CRUISER 36</t>
  </si>
  <si>
    <t>6;7</t>
  </si>
  <si>
    <t>2 cabins yachts</t>
  </si>
  <si>
    <t>BAVARIA CRUISER 30</t>
  </si>
  <si>
    <t>2006</t>
  </si>
  <si>
    <t>2</t>
  </si>
  <si>
    <t>The comfort package is not included in the above prices but will be added in your invoice</t>
  </si>
  <si>
    <t>For detailed specification for each yacht, contact: reservations@navigare-yachting.com</t>
  </si>
  <si>
    <r>
      <t xml:space="preserve">Gennaker </t>
    </r>
    <r>
      <rPr>
        <b/>
        <sz val="12"/>
        <rFont val="Garamond"/>
        <family val="1"/>
      </rPr>
      <t>150 EUR</t>
    </r>
    <r>
      <rPr>
        <sz val="12"/>
        <rFont val="Garamond"/>
        <family val="1"/>
      </rPr>
      <t>/per week + 200 EUR additional deposit to the sec deposit (only for 46 ft and 50 ft boats)</t>
    </r>
  </si>
  <si>
    <r>
      <t xml:space="preserve">Extra linen and towels </t>
    </r>
    <r>
      <rPr>
        <b/>
        <sz val="12"/>
        <rFont val="Garamond"/>
        <family val="1"/>
      </rPr>
      <t>10 EUR</t>
    </r>
    <r>
      <rPr>
        <sz val="12"/>
        <rFont val="Garamond"/>
        <family val="1"/>
      </rPr>
      <t xml:space="preserve">/per person  </t>
    </r>
  </si>
  <si>
    <r>
      <t xml:space="preserve">Life raft </t>
    </r>
    <r>
      <rPr>
        <b/>
        <sz val="12"/>
        <rFont val="Garamond"/>
        <family val="1"/>
      </rPr>
      <t>60 EUR</t>
    </r>
    <r>
      <rPr>
        <sz val="12"/>
        <rFont val="Garamond"/>
        <family val="1"/>
      </rPr>
      <t>/per charter</t>
    </r>
  </si>
  <si>
    <r>
      <t xml:space="preserve">Seaclothes </t>
    </r>
    <r>
      <rPr>
        <b/>
        <sz val="12"/>
        <rFont val="Garamond"/>
        <family val="1"/>
      </rPr>
      <t>20 EUR</t>
    </r>
    <r>
      <rPr>
        <sz val="12"/>
        <rFont val="Garamond"/>
        <family val="1"/>
      </rPr>
      <t>/per person</t>
    </r>
  </si>
  <si>
    <t>Transfers (payable only in cash on spot)</t>
  </si>
  <si>
    <t xml:space="preserve">Arlanda airport - Gåshaga base                                                                                       90 EUR/1-4 person, 140 EUR/max 7 pers </t>
  </si>
  <si>
    <t xml:space="preserve">Skavsta airport - Gåshaga base                                                                                      235 EUR/1-4 person, 345 EUR/max 7 pers </t>
  </si>
  <si>
    <t xml:space="preserve">Embarkation                                                          </t>
  </si>
  <si>
    <t>Saturday after 17.00</t>
  </si>
  <si>
    <t>Saturday before 9.00 * Return to the base on the evening  until 18:00 hours.</t>
  </si>
  <si>
    <t>Appropriate sailing license</t>
  </si>
  <si>
    <t>Available on request with price calculation: (Weekly charter price / divided by 7 / multiplied by 10) +5% supplement</t>
  </si>
  <si>
    <t xml:space="preserve">Sat-Sun 50%
Fri-Sun 65%
Thu-Sun 75%
Wed-Sun 85%
For all other shorter periods the full weekly price is applicable. 
“Short week” from Sunday 17.00
Mon-Fri 65%
Mon-Thu 50%
Mon-Wed 40%
Mon-tue 30%
For all other shorter periods the full weekly price is applicable. </t>
  </si>
  <si>
    <t>Boats are available also for shorter periods. The prices are expressed in percentage of the weekly prices.</t>
  </si>
  <si>
    <r>
      <rPr>
        <b/>
        <sz val="12"/>
        <rFont val="Garamond"/>
        <family val="1"/>
      </rPr>
      <t>Includes security deposit/full coverage*</t>
    </r>
    <r>
      <rPr>
        <sz val="12"/>
        <rFont val="Garamond"/>
        <family val="1"/>
      </rPr>
      <t xml:space="preserve">  - Includes final cleaning, bed sheets &amp; towels, dinghy,  outboard engine and outboard fuel, one bottle of gas, full water tank, snorkeling equipment, Wifi, automatic life vests, barbecue                             </t>
    </r>
    <r>
      <rPr>
        <b/>
        <sz val="12"/>
        <rFont val="Garamond"/>
        <family val="1"/>
      </rPr>
      <t>Yacht Fuel is not included</t>
    </r>
    <r>
      <rPr>
        <sz val="12"/>
        <rFont val="Garamond"/>
        <family val="1"/>
      </rPr>
      <t xml:space="preserve"> – the fuel tank will be fill when you charter starts and you are responsible for topping off the fuel tank at the end of your charter.</t>
    </r>
  </si>
  <si>
    <t>TURKEY, Göcek D-Marin</t>
  </si>
  <si>
    <t>All prices in EUR per week including 0%  VAT</t>
  </si>
  <si>
    <t>24.3.-28.4.         27.10.-24.11.</t>
  </si>
  <si>
    <t xml:space="preserve"> 28.4.-12.5.  13.10.-27.10.</t>
  </si>
  <si>
    <t>12.5. -28.7.        29.9.-13.10.</t>
  </si>
  <si>
    <t>28.7.-25.8.</t>
  </si>
  <si>
    <t>25.8.-29.9.</t>
  </si>
  <si>
    <t>Prestige line MONOHULLS</t>
  </si>
  <si>
    <t xml:space="preserve">JEANNEAU 53    </t>
  </si>
  <si>
    <t xml:space="preserve"> 5+1 </t>
  </si>
  <si>
    <t xml:space="preserve"> 10+2</t>
  </si>
  <si>
    <t>BAVARIA CRUISER 50</t>
  </si>
  <si>
    <t>BENETEAU Oceanis 50 Family</t>
  </si>
  <si>
    <t>8+2</t>
  </si>
  <si>
    <t>BAVARIA CRUISER  46</t>
  </si>
  <si>
    <t>BAVARIA CRUISER 45</t>
  </si>
  <si>
    <t>JEANNEAU Sun Odyssey 44i</t>
  </si>
  <si>
    <t>JEANNEAU Sun Odyssey 50 DS</t>
  </si>
  <si>
    <t>6+1</t>
  </si>
  <si>
    <t>DUFOUR 445 GL</t>
  </si>
  <si>
    <t>BENETEAU Oceanis 41</t>
  </si>
  <si>
    <t>BAVARIA CRUISER 41</t>
  </si>
  <si>
    <t>JEANNEAU Sun Odyssey 419</t>
  </si>
  <si>
    <t>JEANNEAU Sun Odyssey 409</t>
  </si>
  <si>
    <t>DUFOUR 405 GL</t>
  </si>
  <si>
    <t>BAVARIA CRUISER 37</t>
  </si>
  <si>
    <t>DUFOUR 335 GL</t>
  </si>
  <si>
    <t>Outbord and Dinghy, elektr. Windlas, Liferaft, Autopilot, elektr. Windex,  Inverter, CD Player</t>
  </si>
  <si>
    <r>
      <rPr>
        <b/>
        <sz val="12"/>
        <rFont val="Garamond"/>
        <family val="1"/>
      </rPr>
      <t xml:space="preserve">400 EUR </t>
    </r>
    <r>
      <rPr>
        <sz val="12"/>
        <rFont val="Garamond"/>
        <family val="1"/>
      </rPr>
      <t>/ charter for boats up to 42ft</t>
    </r>
  </si>
  <si>
    <r>
      <t xml:space="preserve">440 EUR </t>
    </r>
    <r>
      <rPr>
        <sz val="12"/>
        <rFont val="Garamond"/>
        <family val="1"/>
      </rPr>
      <t>/ charter for boats from 42ft - 50 f</t>
    </r>
  </si>
  <si>
    <r>
      <rPr>
        <b/>
        <sz val="12"/>
        <rFont val="Garamond"/>
        <family val="1"/>
      </rPr>
      <t>500 EUR /</t>
    </r>
    <r>
      <rPr>
        <sz val="12"/>
        <rFont val="Garamond"/>
        <family val="1"/>
      </rPr>
      <t xml:space="preserve"> charter for boats from 50ft</t>
    </r>
  </si>
  <si>
    <t>Transit log</t>
  </si>
  <si>
    <r>
      <t xml:space="preserve">100 EUR </t>
    </r>
    <r>
      <rPr>
        <sz val="12"/>
        <rFont val="Garamond"/>
        <family val="1"/>
      </rPr>
      <t>/ charter</t>
    </r>
  </si>
  <si>
    <t xml:space="preserve">Skipper </t>
  </si>
  <si>
    <t>130,- Euro  per day + meals</t>
  </si>
  <si>
    <t>Airport pick up/drop off</t>
  </si>
  <si>
    <t xml:space="preserve">One-way from/to:   Taxi - max 3 pax Dalaman Airport to Göcek Base 40 eur  / Transfer Dalaman Airport to Göcek Base Minibus up to 6 pax 50 eur/  Transfer Dalaman Airport to Göcek Base Minibus up to 14 pax 60 eur
</t>
  </si>
  <si>
    <t>Upon request</t>
  </si>
  <si>
    <t>et Canoe for 2 pax : € 150,- Euro  / week Stand-up-Board : € 150,- Euro  / week</t>
  </si>
  <si>
    <t xml:space="preserve">Check-in :  Sat.  16.00 h  </t>
  </si>
  <si>
    <t xml:space="preserve">7 days minimum booking </t>
  </si>
  <si>
    <t>40% at reservation (with in 10 days)</t>
  </si>
  <si>
    <t>60% 4 weeks before departure</t>
  </si>
  <si>
    <t xml:space="preserve">  </t>
  </si>
  <si>
    <t xml:space="preserve">Check-out : Fri.  17.00 h + Overnight on board , Sat. 8.30 h
</t>
  </si>
  <si>
    <r>
      <t xml:space="preserve">INCLUDES:security deposit/full coverage* , welcome package, final cleaning, bed sheets &amp; towels, dinghy, outboard engine &amp; fuel, gas, full water tanks, snorkelling equipment, prepaid Turkish mobile phone, free Wi-Fi Internet on board.                                                        </t>
    </r>
    <r>
      <rPr>
        <b/>
        <sz val="12"/>
        <rFont val="Garamond"/>
        <family val="1"/>
      </rPr>
      <t>Yacht Fuel is not included</t>
    </r>
    <r>
      <rPr>
        <sz val="12"/>
        <rFont val="Garamond"/>
        <family val="1"/>
      </rPr>
      <t xml:space="preserve"> – the fuel tank will be fill when you charter starts and you are responsible for topping off the fuel tank at the end of your charter.            </t>
    </r>
  </si>
  <si>
    <t>Navigare Value Packs                            upon request (limited number)</t>
  </si>
  <si>
    <t>Add-ons                                                   upon request (limited number)</t>
  </si>
  <si>
    <t>All yachts are equipped with autopilot, GPS &amp; chart plotter, echo sound and wind speed indicator, electrical windlass, VHF station, 220 V shore supply &amp; battery charger, radio &amp; CD player, speakers in saloon &amp; cockpit, warm water supply in heads &amp; galley, dinghy &amp; outboard engine, bimini top, sprayhood</t>
  </si>
  <si>
    <t>10% - early booking discount (six month prior departure)</t>
  </si>
  <si>
    <t>Saturday before 09.00                   * Obligatory return to the base on Friday until 18:00 hours.</t>
  </si>
  <si>
    <t xml:space="preserve">SPLIT AIRPORT - SEGET BASE: </t>
  </si>
  <si>
    <t xml:space="preserve">SEGET BASE – SPLIT AIRPORT: </t>
  </si>
  <si>
    <t>10% ealry booking discount (six month prior departure)</t>
  </si>
  <si>
    <t xml:space="preserve">** BUS (SEGET DONJI BASE) IS AVAILABLE FOR THE PERIOD FROM  28.04. - 13.10.2018  
 No pre-reservation is needed.  </t>
  </si>
  <si>
    <r>
      <rPr>
        <b/>
        <sz val="12"/>
        <rFont val="Garamond"/>
        <family val="1"/>
      </rPr>
      <t xml:space="preserve">430 EUR / </t>
    </r>
    <r>
      <rPr>
        <sz val="12"/>
        <rFont val="Garamond"/>
        <family val="1"/>
      </rPr>
      <t xml:space="preserve">per week boats up to 49 ft      </t>
    </r>
  </si>
  <si>
    <r>
      <t xml:space="preserve">530 EUR / </t>
    </r>
    <r>
      <rPr>
        <sz val="12"/>
        <rFont val="Garamond"/>
        <family val="1"/>
      </rPr>
      <t>per week boats for from 50ft</t>
    </r>
  </si>
  <si>
    <t>VIP Pack - get the treatment you deserve                                                                                                                                               159 EUR/charter</t>
  </si>
  <si>
    <r>
      <rPr>
        <b/>
        <sz val="12"/>
        <rFont val="Garamond"/>
        <family val="1"/>
      </rPr>
      <t xml:space="preserve">1.150 EUR </t>
    </r>
    <r>
      <rPr>
        <sz val="12"/>
        <rFont val="Garamond"/>
        <family val="1"/>
      </rPr>
      <t>/ week+ nourishing</t>
    </r>
  </si>
  <si>
    <r>
      <rPr>
        <b/>
        <sz val="12"/>
        <rFont val="Garamond"/>
        <family val="1"/>
      </rPr>
      <t>915 EUR</t>
    </r>
    <r>
      <rPr>
        <sz val="12"/>
        <rFont val="Garamond"/>
        <family val="1"/>
      </rPr>
      <t xml:space="preserve"> / week+ nourishing</t>
    </r>
  </si>
  <si>
    <t>Saturday before 09.00* Obligatory return to the base on the evening until 18:00 hours.</t>
  </si>
  <si>
    <t xml:space="preserve">Skipper / Guide </t>
  </si>
  <si>
    <t xml:space="preserve">Hostess / Cook </t>
  </si>
  <si>
    <t>700 EUR / week + nourishing</t>
  </si>
  <si>
    <t>Navigare Value Packs                      upon request (limited number)</t>
  </si>
  <si>
    <t>Add-ons                                              upon request (limited number)</t>
  </si>
  <si>
    <t>Navigare Value Packs                 upon request (limited number)</t>
  </si>
  <si>
    <t>Add-ons                                      upon request (limited number)</t>
  </si>
  <si>
    <r>
      <t xml:space="preserve">Maximum discount for all other sailing-yachts is </t>
    </r>
    <r>
      <rPr>
        <b/>
        <sz val="12"/>
        <rFont val="Garamond"/>
        <family val="1"/>
      </rPr>
      <t xml:space="preserve">15% </t>
    </r>
  </si>
  <si>
    <t>Get more sailing time with  fast track service on arrival and access to the yacht at 13.00 pm, a luxurious drink welcome pack will be waiting for you…</t>
  </si>
  <si>
    <t>LAGOON 440 *</t>
  </si>
  <si>
    <t>Kayak</t>
  </si>
  <si>
    <t>84 EUR / per day</t>
  </si>
  <si>
    <t>SUP</t>
  </si>
  <si>
    <t>28 EUR / per day</t>
  </si>
  <si>
    <t xml:space="preserve">February and March charters
February and March charters
</t>
  </si>
  <si>
    <t>LAGOON 50 * NEW</t>
  </si>
  <si>
    <r>
      <t xml:space="preserve">1.050 EUR </t>
    </r>
    <r>
      <rPr>
        <sz val="12"/>
        <rFont val="Garamond"/>
        <family val="1"/>
      </rPr>
      <t>/ week + nourishing</t>
    </r>
  </si>
  <si>
    <t>Skipper / Sailing-yachts over 60ft  and catamarans over 50 ft</t>
  </si>
  <si>
    <t>Skipper / Sailing-yachts up to 49 ft</t>
  </si>
  <si>
    <t>Hostess / Sailing-yachts up to 49 ft</t>
  </si>
  <si>
    <t>Hostess / Sailing-yachts from 50 ft and all catamarans</t>
  </si>
  <si>
    <r>
      <t xml:space="preserve">875 EUR </t>
    </r>
    <r>
      <rPr>
        <sz val="12"/>
        <rFont val="Garamond"/>
        <family val="1"/>
      </rPr>
      <t>/ week + nourishing</t>
    </r>
  </si>
  <si>
    <t>Gratuity</t>
  </si>
  <si>
    <t xml:space="preserve">Spinnaker : 150,- Euro  / per week + 500 EUR deposit  Safety Net : 50,-Euro Additional Bed Linen or Towels : 5,-Euro / </t>
  </si>
  <si>
    <r>
      <t xml:space="preserve">980 EUR </t>
    </r>
    <r>
      <rPr>
        <sz val="12"/>
        <rFont val="Garamond"/>
        <family val="1"/>
      </rPr>
      <t>/ week + nourishing</t>
    </r>
  </si>
  <si>
    <r>
      <rPr>
        <b/>
        <sz val="12"/>
        <rFont val="Garamond"/>
        <family val="1"/>
      </rPr>
      <t>1.400 EUR</t>
    </r>
    <r>
      <rPr>
        <sz val="12"/>
        <rFont val="Garamond"/>
        <family val="1"/>
      </rPr>
      <t xml:space="preserve"> / week+ nourishing</t>
    </r>
  </si>
  <si>
    <t>Gratuity of 15 to 20% is suggested if you're satisfied with the quality of the service.</t>
  </si>
  <si>
    <t>LAGOON 52 ***'S' NEW</t>
  </si>
  <si>
    <r>
      <t>2017/</t>
    </r>
    <r>
      <rPr>
        <sz val="12"/>
        <color rgb="FFFF0000"/>
        <rFont val="Garamond"/>
        <family val="1"/>
      </rPr>
      <t>18</t>
    </r>
  </si>
  <si>
    <t>BENETEAU Oceanis 51,1 NEW</t>
  </si>
  <si>
    <t>JEANNEAU Sun Odyssey 479 NEW</t>
  </si>
  <si>
    <t>200 per week</t>
  </si>
  <si>
    <t>150 per week</t>
  </si>
  <si>
    <t>Deposit Elimination</t>
  </si>
  <si>
    <t>450 EUR/ per week</t>
  </si>
  <si>
    <t>LAGOON 52 ***Cr</t>
  </si>
  <si>
    <t xml:space="preserve">JEANNEAU SUN ODYSSEY 509*** </t>
  </si>
  <si>
    <t>A.P.A. (Advanced provisioning allowance) for crewed Lagoon 560 S2 and Lagoon 52 (will be added on the invoice)</t>
  </si>
  <si>
    <t>5.000 EUR / Lagoon 560 S per week                                                                         4.000 EUR / Lagoon 52 F per week</t>
  </si>
  <si>
    <t>Skipper / SY 50-59 ft  and catamarans up to 49 ft</t>
  </si>
  <si>
    <t>+ mooring fee(s) in port outside home port (Dubrovnik/Seget Donji)</t>
  </si>
  <si>
    <r>
      <rPr>
        <b/>
        <sz val="12"/>
        <rFont val="Garamond"/>
        <family val="1"/>
      </rPr>
      <t xml:space="preserve">980 EUR </t>
    </r>
    <r>
      <rPr>
        <sz val="12"/>
        <rFont val="Garamond"/>
        <family val="1"/>
      </rPr>
      <t>/ week+ nourishing</t>
    </r>
  </si>
  <si>
    <r>
      <rPr>
        <b/>
        <sz val="12"/>
        <rFont val="Garamond"/>
        <family val="1"/>
      </rPr>
      <t xml:space="preserve">875 EUR </t>
    </r>
    <r>
      <rPr>
        <sz val="12"/>
        <rFont val="Garamond"/>
        <family val="1"/>
      </rPr>
      <t>/ week+ nourishing</t>
    </r>
  </si>
  <si>
    <t>5% - Multiple repeated clients (from 3rd booking applicable)</t>
  </si>
  <si>
    <t xml:space="preserve">Proof of competence &amp; 2.500 EUR deposit (internal regatta) , 5.000 EUR (official regatta)
</t>
  </si>
  <si>
    <t>LAGOON 40 NEW</t>
  </si>
  <si>
    <t>Flotilla Fee</t>
  </si>
  <si>
    <r>
      <rPr>
        <b/>
        <sz val="12"/>
        <rFont val="Garamond"/>
        <family val="1"/>
      </rPr>
      <t xml:space="preserve">930 EUR </t>
    </r>
    <r>
      <rPr>
        <sz val="12"/>
        <rFont val="Garamond"/>
        <family val="1"/>
      </rPr>
      <t>/ Yachts from 43ft to 49ft (2 weeks 1.400 EUR)</t>
    </r>
  </si>
  <si>
    <r>
      <rPr>
        <b/>
        <sz val="12"/>
        <rFont val="Garamond"/>
        <family val="1"/>
      </rPr>
      <t xml:space="preserve">850 EUR </t>
    </r>
    <r>
      <rPr>
        <sz val="12"/>
        <rFont val="Garamond"/>
        <family val="1"/>
      </rPr>
      <t>/ Yachts up to 42ft (2 weeks 1.155 EUR)</t>
    </r>
  </si>
  <si>
    <r>
      <rPr>
        <b/>
        <sz val="12"/>
        <rFont val="Garamond"/>
        <family val="1"/>
      </rPr>
      <t xml:space="preserve">1.180 EUR </t>
    </r>
    <r>
      <rPr>
        <sz val="12"/>
        <rFont val="Garamond"/>
        <family val="1"/>
      </rPr>
      <t>/ Yachts from 50 ft and catamarans (2 weeks 1.580EUR)</t>
    </r>
  </si>
  <si>
    <t>Final cleaning, bed sheets &amp; towels, dinghy, outboard engine &amp; fuel, gas, full water tanks, snorkeling equipment, free Wi-Fi (10 GB per day) Internet on board, transfer from/to airport, donut, Stand up paddle board, Coffee pack, Kayak</t>
  </si>
  <si>
    <t xml:space="preserve">5% - for repeater client discount </t>
  </si>
  <si>
    <t xml:space="preserve">Air-conditioned minibus:  40 EUR for up to 8 persons minibus. </t>
  </si>
  <si>
    <t>**** Prices include current local taxes, fees and charges. Weekly berth in home port included in charter price. In case of any changes, Navigare reserves the right to adjust the prices accordingly.</t>
  </si>
  <si>
    <t>**** Prices include current local taxes fees, and charges. Weekly berth in home port included in charter price. In case of any changes, Navigare reserves the right to adjust the prices accordingly.</t>
  </si>
  <si>
    <t>BENETEAU Oceanis 48 NEW</t>
  </si>
  <si>
    <t>JEANNEAU SUN ODYSSEY 519 NEW</t>
  </si>
  <si>
    <t>* 
- no deposit in cash or via credit cards needed
- no hidden costs 
- all damages covered
- no money blocked
- faster check in
- no insurance needed</t>
  </si>
  <si>
    <r>
      <rPr>
        <b/>
        <sz val="12"/>
        <rFont val="Garamond"/>
        <family val="1"/>
      </rPr>
      <t>Surcharge for two or more weeks: 150 EUR</t>
    </r>
    <r>
      <rPr>
        <sz val="12"/>
        <rFont val="Garamond"/>
        <family val="1"/>
      </rPr>
      <t xml:space="preserve"> / per week / Security deposit, 10 GB wi-fi, bed sheets, towels &amp; tourist tax / obligatory will only be added to a more week charter</t>
    </r>
  </si>
  <si>
    <t>LAGOON 50  ***'S' NEW</t>
  </si>
  <si>
    <t>LAGOON 450 F*** NEW</t>
  </si>
  <si>
    <t>8+ 2 (SC)</t>
  </si>
  <si>
    <t>OCEANIS YACHT 62*** 'S' NEW</t>
  </si>
  <si>
    <t>LAGOON 450 F NEW</t>
  </si>
  <si>
    <t>TROGIR, Yacht Club Seget / HISTORICAL ROUTE</t>
  </si>
  <si>
    <t>All prices in EUR per week / per cabin including 13% Croatian VAT****</t>
  </si>
  <si>
    <t>SUPREME DELUXE LINE - MONOHULLS</t>
  </si>
  <si>
    <t xml:space="preserve">HANSE 575*** - MASTER CABIN </t>
  </si>
  <si>
    <t>HANSE 575*** - SUPREME DOUBLE CABIN</t>
  </si>
  <si>
    <t>HANSE 575*** - BUNK BED CABIN</t>
  </si>
  <si>
    <t xml:space="preserve">LUXURY LINE - CATAMARANS </t>
  </si>
  <si>
    <t>LAGOON 39 - DOUBLE CABIN</t>
  </si>
  <si>
    <t>LUXURY LINE  - MONOHULLS</t>
  </si>
  <si>
    <t xml:space="preserve">JEANNEAU SUN ODYSSEY 509*** MASTER CABIN </t>
  </si>
  <si>
    <t xml:space="preserve">JEANNEAU SUN ODYSSEY 509*** DOUBLE CABIN </t>
  </si>
  <si>
    <t xml:space="preserve">JEANNEAU Sun Odyssey 439 DOUBLE CABIN </t>
  </si>
  <si>
    <t xml:space="preserve">TROGIR, Yacht Club Seget / GASTRO ROUTE </t>
  </si>
  <si>
    <t>**** Prices include current local taxes, fees and charges. In case of any changes, Navigare reserves the right to adjust the prices accordingly.</t>
  </si>
  <si>
    <t>INCLUDED IN THE PRICE:</t>
  </si>
  <si>
    <t>• 7 night cruise with half board service 
• All-inclusive pack
• Drinks on board: 
0,5 L wine/or 1l beer per pax/day
1 l water per pax/day
• Skipper and Hostess
• Fuel
• Moorings 
• Tourist tax
• Organization</t>
  </si>
  <si>
    <t>EQUIPMENT LIST AND ROUTE:</t>
  </si>
  <si>
    <t>For detailed specification for each yacht and route refer to: reservations@navigare-yachting.com</t>
  </si>
  <si>
    <t>All yachts are equipped with autopilot, GPS &amp; chart plotter, echo sound and wind speed indicator, electrical windlass, VHF station, heating system, 220 V shore supply &amp; battery charger, radio &amp; CD player, speakers in saloon &amp; cockpit, warm water supply in heads &amp; galley, dinghy &amp; outboard engine, bimini top, sprayhood</t>
  </si>
  <si>
    <t>30.6.-18.8.</t>
  </si>
  <si>
    <t>18.8.-15.9.</t>
  </si>
  <si>
    <t>3 + 1</t>
  </si>
  <si>
    <t>6+ 2(S)+2 (SC)</t>
  </si>
  <si>
    <t>-</t>
  </si>
  <si>
    <t>BENETEAU SENSE 51 NEW</t>
  </si>
  <si>
    <t>JEANNEAU SUN ODYSSEY 479 NEW</t>
  </si>
  <si>
    <t>DUFOUR GL 380</t>
  </si>
  <si>
    <t>CAGLIARI, Cagliari base</t>
  </si>
  <si>
    <t>All prices in EUR per week including 11 % Italian VAT</t>
  </si>
  <si>
    <t>DUFOUR 512</t>
  </si>
  <si>
    <t>10 + 2(S)</t>
  </si>
  <si>
    <t>BAVARIA 51 Cruiser</t>
  </si>
  <si>
    <t xml:space="preserve">BAVARIA 46 </t>
  </si>
  <si>
    <t>2007</t>
  </si>
  <si>
    <t>BAVARIA 40 Cruiser</t>
  </si>
  <si>
    <t>DUFOUR 425 GL</t>
  </si>
  <si>
    <t>2009</t>
  </si>
  <si>
    <t>BAVARIA 41 Cruiser</t>
  </si>
  <si>
    <t>EQUIPMENT LIST</t>
  </si>
  <si>
    <t>GENERAL SPECIFICATION</t>
  </si>
  <si>
    <t>All yachts are equipped with autopilot, GPS &amp; chart plotter, echo sound and wind speed indicator, electrical windlass, VHF station, 220 V shore supply &amp; battery charger, radio &amp; CD player, speakers in saloon &amp; cockpit, warm water supply in heads &amp; galley, dinghy &amp; outboard engine, bimini top. sprayhood</t>
  </si>
  <si>
    <t>1.050 EUR / week+ nourishing</t>
  </si>
  <si>
    <t>Hostess</t>
  </si>
  <si>
    <t>820 EUR / week+ nourishing</t>
  </si>
  <si>
    <t>Navigare Value Packs</t>
  </si>
  <si>
    <t>Get more sailing time with  fast track service on arrival and access to the yacht at 13.00 pm, a luxurious drinks on-ice welcome pack will be waiting for you…</t>
  </si>
  <si>
    <t>Add-ons</t>
  </si>
  <si>
    <r>
      <t xml:space="preserve">Gennaker: </t>
    </r>
    <r>
      <rPr>
        <b/>
        <sz val="12"/>
        <color indexed="8"/>
        <rFont val="Garamond"/>
        <family val="1"/>
      </rPr>
      <t xml:space="preserve">140 EUR/per week </t>
    </r>
  </si>
  <si>
    <r>
      <t xml:space="preserve">Safety net: </t>
    </r>
    <r>
      <rPr>
        <b/>
        <sz val="12"/>
        <color indexed="8"/>
        <rFont val="Garamond"/>
        <family val="1"/>
      </rPr>
      <t>130 EUR/ per booking</t>
    </r>
  </si>
  <si>
    <r>
      <t xml:space="preserve">Extra bed sheets and towel: </t>
    </r>
    <r>
      <rPr>
        <b/>
        <sz val="12"/>
        <color indexed="8"/>
        <rFont val="Garamond"/>
        <family val="1"/>
      </rPr>
      <t>15 EUR per pax</t>
    </r>
  </si>
  <si>
    <t>Saturday before 09.00* Return to the base on the evening until 18:00 hours.</t>
  </si>
  <si>
    <r>
      <rPr>
        <b/>
        <sz val="12"/>
        <rFont val="Garamond"/>
        <family val="1"/>
      </rPr>
      <t xml:space="preserve">310 EUR </t>
    </r>
    <r>
      <rPr>
        <sz val="12"/>
        <rFont val="Garamond"/>
        <family val="1"/>
      </rPr>
      <t xml:space="preserve">/ charter for boats up to 42ft
</t>
    </r>
  </si>
  <si>
    <t>Includes welcome package, ﬁnal cleaning, gas, bed sheets &amp; towels, dinghy, outboard engine.</t>
  </si>
  <si>
    <r>
      <rPr>
        <b/>
        <sz val="12"/>
        <rFont val="Garamond"/>
        <family val="1"/>
      </rPr>
      <t xml:space="preserve">370 EUR </t>
    </r>
    <r>
      <rPr>
        <sz val="12"/>
        <rFont val="Garamond"/>
        <family val="1"/>
      </rPr>
      <t>/ charter for boats from 42ft - 50 ft</t>
    </r>
  </si>
  <si>
    <r>
      <rPr>
        <b/>
        <sz val="12"/>
        <rFont val="Garamond"/>
        <family val="1"/>
      </rPr>
      <t xml:space="preserve">400 EUR </t>
    </r>
    <r>
      <rPr>
        <sz val="12"/>
        <rFont val="Garamond"/>
        <family val="1"/>
      </rPr>
      <t>/ charter for boats from 50ft and all catamarans</t>
    </r>
  </si>
  <si>
    <t>ALGHERO, Alghero base</t>
  </si>
  <si>
    <t xml:space="preserve">Maximum discount for the season 20178is 15% </t>
  </si>
  <si>
    <t>1.1. - 5.5.</t>
  </si>
  <si>
    <t>5.5. - 26.5.</t>
  </si>
  <si>
    <t>26.5. - 16.6.</t>
  </si>
  <si>
    <t>16.6. - 14.7.</t>
  </si>
  <si>
    <t>14.7. - 4.8</t>
  </si>
  <si>
    <t>4.8. -  18.8.</t>
  </si>
  <si>
    <t>18.8. - 25.8.</t>
  </si>
  <si>
    <t>25.8. - 8.9.</t>
  </si>
  <si>
    <t>8.9. - 22.9.</t>
  </si>
  <si>
    <t>22.9. - 29.9.</t>
  </si>
  <si>
    <t>29.9. - 31.12.</t>
  </si>
  <si>
    <t>BAVARIA Cruiser 51 NEU</t>
  </si>
  <si>
    <t>BAVARIA Cruiser 51 NEW</t>
  </si>
  <si>
    <t>BAVARIA 41 Cruiser NEU</t>
  </si>
  <si>
    <t xml:space="preserve">PORTISCO / Marina di Portisco </t>
  </si>
  <si>
    <t>DUFOUR 520 NEU</t>
  </si>
  <si>
    <t>BAVARIA 51 NEW</t>
  </si>
  <si>
    <t>BVI, Tortola, JAMES YOUNG (CHALWELL) MARINA</t>
  </si>
  <si>
    <t>SPAIN, Palma de Mallorca</t>
  </si>
  <si>
    <t>All prices in EUR per week including 21%  VAT</t>
  </si>
  <si>
    <t xml:space="preserve">PRESTIGE LINE - MONOHALLS </t>
  </si>
  <si>
    <t xml:space="preserve">JEANNEAU SO 519 </t>
  </si>
  <si>
    <t>10 + 2 S</t>
  </si>
  <si>
    <t xml:space="preserve">ELAN 50 </t>
  </si>
  <si>
    <t xml:space="preserve">BENETEAU Oceanis 45 </t>
  </si>
  <si>
    <t>8 + 2 S</t>
  </si>
  <si>
    <t xml:space="preserve">JEANNEAU SO 409 </t>
  </si>
  <si>
    <t>6 + 2 S</t>
  </si>
  <si>
    <t xml:space="preserve">BENETEAU Oeanis 40 </t>
  </si>
  <si>
    <t>All yachts are equipped with GPS with Chart Plotter, Autopilot, Depth, speed and Wind instrument, VHF Radio/DSC modul, Navigation equipment, FM/CD Player, Shore Connection 220 VElectric Refrigerator, Hot Water, Cockpit shower, Fix cockpit table, Bimini top, Sprayhood, Dinghy, Kitchen and safetly equipment, EPIRB (Emergency Position-Indicating Radio Beacon), Automatic life jacket</t>
  </si>
  <si>
    <r>
      <t xml:space="preserve">Skipper: </t>
    </r>
    <r>
      <rPr>
        <b/>
        <sz val="12"/>
        <rFont val="Garamond"/>
        <family val="1"/>
      </rPr>
      <t xml:space="preserve">150 EUR </t>
    </r>
    <r>
      <rPr>
        <sz val="12"/>
        <rFont val="Garamond"/>
        <family val="1"/>
      </rPr>
      <t xml:space="preserve">/ day + provisions   </t>
    </r>
  </si>
  <si>
    <r>
      <t xml:space="preserve">Hostess: </t>
    </r>
    <r>
      <rPr>
        <b/>
        <sz val="12"/>
        <rFont val="Garamond"/>
        <family val="1"/>
      </rPr>
      <t xml:space="preserve">140 EUR </t>
    </r>
    <r>
      <rPr>
        <sz val="12"/>
        <rFont val="Garamond"/>
        <family val="1"/>
      </rPr>
      <t>/ day + provisions</t>
    </r>
  </si>
  <si>
    <t>Blister</t>
  </si>
  <si>
    <r>
      <t xml:space="preserve">150 EUR / </t>
    </r>
    <r>
      <rPr>
        <sz val="12"/>
        <rFont val="Garamond"/>
        <family val="1"/>
      </rPr>
      <t>week</t>
    </r>
  </si>
  <si>
    <t>Security insurance:</t>
  </si>
  <si>
    <r>
      <rPr>
        <b/>
        <sz val="12"/>
        <rFont val="Garamond"/>
        <family val="1"/>
      </rPr>
      <t>180 EUR</t>
    </r>
    <r>
      <rPr>
        <sz val="12"/>
        <rFont val="Garamond"/>
        <family val="1"/>
      </rPr>
      <t xml:space="preserve"> (non-refundable) the deposit is reduced to 440 EUR</t>
    </r>
  </si>
  <si>
    <r>
      <t xml:space="preserve">Kayak: </t>
    </r>
    <r>
      <rPr>
        <b/>
        <sz val="12"/>
        <rFont val="Garamond"/>
        <family val="1"/>
      </rPr>
      <t xml:space="preserve">100 EUR </t>
    </r>
    <r>
      <rPr>
        <sz val="12"/>
        <rFont val="Garamond"/>
        <family val="1"/>
      </rPr>
      <t>/ week</t>
    </r>
  </si>
  <si>
    <r>
      <t xml:space="preserve">Paddle surf: </t>
    </r>
    <r>
      <rPr>
        <b/>
        <sz val="12"/>
        <rFont val="Garamond"/>
        <family val="1"/>
      </rPr>
      <t>100 EUR</t>
    </r>
    <r>
      <rPr>
        <sz val="12"/>
        <rFont val="Garamond"/>
        <family val="1"/>
      </rPr>
      <t xml:space="preserve"> / week</t>
    </r>
  </si>
  <si>
    <r>
      <t xml:space="preserve">BBQ: </t>
    </r>
    <r>
      <rPr>
        <b/>
        <sz val="12"/>
        <rFont val="Garamond"/>
        <family val="1"/>
      </rPr>
      <t>100 EUR</t>
    </r>
    <r>
      <rPr>
        <sz val="12"/>
        <rFont val="Garamond"/>
        <family val="1"/>
      </rPr>
      <t xml:space="preserve"> / week</t>
    </r>
  </si>
  <si>
    <r>
      <t xml:space="preserve">Safety net: </t>
    </r>
    <r>
      <rPr>
        <b/>
        <sz val="12"/>
        <rFont val="Garamond"/>
        <family val="1"/>
      </rPr>
      <t xml:space="preserve">60 EUR / </t>
    </r>
    <r>
      <rPr>
        <sz val="12"/>
        <rFont val="Garamond"/>
        <family val="1"/>
      </rPr>
      <t>week</t>
    </r>
  </si>
  <si>
    <t xml:space="preserve">5% -  repeater client/family booking/boat show  </t>
  </si>
  <si>
    <t>10% - early booking till 31.01.17 (Max. 15%)</t>
  </si>
  <si>
    <r>
      <rPr>
        <b/>
        <sz val="12"/>
        <rFont val="Garamond"/>
        <family val="1"/>
      </rPr>
      <t>280 EUR</t>
    </r>
    <r>
      <rPr>
        <sz val="12"/>
        <rFont val="Garamond"/>
        <family val="1"/>
      </rPr>
      <t xml:space="preserve"> / charter for 3 cabins boats</t>
    </r>
  </si>
  <si>
    <t>Includes final cleaning, outboard engine, bed sheets &amp; towels.</t>
  </si>
  <si>
    <r>
      <rPr>
        <b/>
        <sz val="12"/>
        <rFont val="Garamond"/>
        <family val="1"/>
      </rPr>
      <t>330 EUR</t>
    </r>
    <r>
      <rPr>
        <sz val="12"/>
        <rFont val="Garamond"/>
        <family val="1"/>
      </rPr>
      <t xml:space="preserve"> / charter for 4 cabins boats</t>
    </r>
  </si>
  <si>
    <r>
      <rPr>
        <b/>
        <sz val="12"/>
        <rFont val="Garamond"/>
        <family val="1"/>
      </rPr>
      <t>380 EUR</t>
    </r>
    <r>
      <rPr>
        <sz val="12"/>
        <rFont val="Garamond"/>
        <family val="1"/>
      </rPr>
      <t xml:space="preserve"> / charter for 5 cabins boats</t>
    </r>
  </si>
  <si>
    <t>Coastal skipper certification from a recognized sailing school and/or previous charter-experience on yachts of similar size and similar destinations.</t>
  </si>
  <si>
    <t xml:space="preserve">04.08.-18.08. </t>
  </si>
  <si>
    <t>18.08.-22.09.</t>
  </si>
  <si>
    <t>02.06-04.08</t>
  </si>
  <si>
    <t>12.05-02.06 22.09-20.10</t>
  </si>
  <si>
    <t>24.12-12.05 20.10-22.12</t>
  </si>
  <si>
    <r>
      <t>2017</t>
    </r>
    <r>
      <rPr>
        <sz val="12"/>
        <color rgb="FFFF0000"/>
        <rFont val="Garamond"/>
        <family val="1"/>
      </rPr>
      <t>/18</t>
    </r>
  </si>
  <si>
    <t>15 % early booking 2018</t>
  </si>
  <si>
    <t xml:space="preserve">Maximum discount for the season 17/18  is 20% </t>
  </si>
  <si>
    <t>Skipper / catamarans over 50 ft</t>
  </si>
  <si>
    <t>16.12.18 - 06.01.19</t>
  </si>
  <si>
    <t>01.02.19 - 31.03.19</t>
  </si>
  <si>
    <t>06.01. - 31.01.19 01.04. - 30.04.19</t>
  </si>
  <si>
    <t>01.05.19 - 09.07.19 06.11.19 - 15.12.19</t>
  </si>
  <si>
    <t>10.07.19 - 05.11.2019</t>
  </si>
  <si>
    <t xml:space="preserve">Dubrovnik Airport - ACI Marina Komolac  </t>
  </si>
  <si>
    <r>
      <t xml:space="preserve">45 EUR </t>
    </r>
    <r>
      <rPr>
        <sz val="12"/>
        <rFont val="Garamond"/>
        <family val="1"/>
      </rPr>
      <t>/ up to 3 persons</t>
    </r>
  </si>
  <si>
    <r>
      <t xml:space="preserve">50 EUR </t>
    </r>
    <r>
      <rPr>
        <sz val="12"/>
        <rFont val="Garamond"/>
        <family val="1"/>
      </rPr>
      <t>/ 4 - 8 persons</t>
    </r>
  </si>
  <si>
    <t>LAGOON 40 * NEW</t>
  </si>
  <si>
    <r>
      <t xml:space="preserve">Includes </t>
    </r>
    <r>
      <rPr>
        <b/>
        <u/>
        <sz val="12"/>
        <rFont val="Garamond"/>
        <family val="1"/>
      </rPr>
      <t>security deposit/full coverage*</t>
    </r>
    <r>
      <rPr>
        <sz val="12"/>
        <rFont val="Garamond"/>
        <family val="1"/>
      </rPr>
      <t xml:space="preserve">  - welcome package, ﬁnal cleaning, bed sheets &amp; towels, dinghy, outboard engine &amp; fuel, cooking gas, full water tanks, snorkelling equipment, free Wi-Fi Internet on board (10 GB per day), Navigare bus transfer included for the base Seget Donji**, </t>
    </r>
    <r>
      <rPr>
        <b/>
        <sz val="12"/>
        <rFont val="Garamond"/>
        <family val="1"/>
      </rPr>
      <t>TOURISTIC</t>
    </r>
    <r>
      <rPr>
        <sz val="12"/>
        <rFont val="Garamond"/>
        <family val="1"/>
      </rPr>
      <t xml:space="preserve"> </t>
    </r>
    <r>
      <rPr>
        <b/>
        <sz val="12"/>
        <rFont val="Garamond"/>
        <family val="1"/>
      </rPr>
      <t xml:space="preserve">TAX                                                   Yacht Fuel is not included </t>
    </r>
    <r>
      <rPr>
        <sz val="12"/>
        <rFont val="Garamond"/>
        <family val="1"/>
      </rPr>
      <t xml:space="preserve">– the fuel tank will be full when your charter starts and you are responsible for topping off the fuel tank at the end of your charter.  
 </t>
    </r>
  </si>
  <si>
    <t>The rates include yacht security, service of flotilla staff, welcome package, ﬁnal cleaning, bed sheets &amp; towels, dinghy, outboard engine &amp; outboard fuel, cooking gas, full water tanks, snorkelling equipment, free Wi-Fi Internet on board, Navigare bus transfer included on Saturday and Croatian tourist tax.</t>
  </si>
  <si>
    <r>
      <t xml:space="preserve">One-way from/to:        
Athens airport - Agios Kosmas  
Taxi   </t>
    </r>
    <r>
      <rPr>
        <b/>
        <sz val="12"/>
        <rFont val="Garamond"/>
        <family val="1"/>
      </rPr>
      <t>50 EUR</t>
    </r>
    <r>
      <rPr>
        <sz val="12"/>
        <rFont val="Garamond"/>
        <family val="1"/>
      </rPr>
      <t xml:space="preserve">/4 pax (between 00.00-06.00 extra 10euro)
Minibus   </t>
    </r>
    <r>
      <rPr>
        <b/>
        <sz val="12"/>
        <rFont val="Garamond"/>
        <family val="1"/>
      </rPr>
      <t>110 EUR</t>
    </r>
    <r>
      <rPr>
        <sz val="12"/>
        <rFont val="Garamond"/>
        <family val="1"/>
      </rPr>
      <t xml:space="preserve">/up to 10 pax (between 21.00-06.00 20 euro extra)
</t>
    </r>
    <r>
      <rPr>
        <sz val="12"/>
        <rFont val="Garamond"/>
        <family val="1"/>
      </rPr>
      <t xml:space="preserve">      
</t>
    </r>
  </si>
  <si>
    <t xml:space="preserve">ATHENS - Elliniko, Agios Kosmas Marina </t>
  </si>
  <si>
    <r>
      <rPr>
        <b/>
        <sz val="12"/>
        <rFont val="Garamond"/>
        <family val="1"/>
      </rPr>
      <t>440 EUR</t>
    </r>
    <r>
      <rPr>
        <sz val="12"/>
        <rFont val="Garamond"/>
        <family val="1"/>
      </rPr>
      <t>/transfer 8 person max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</si>
</sst>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n_-;\-* #,##0.00\ _k_n_-;_-* &quot;-&quot;??\ _k_n_-;_-@_-"/>
    <numFmt numFmtId="164" formatCode="_-* #,##0.00\ &quot;€&quot;_-;\-* #,##0.00\ &quot;€&quot;_-;_-* &quot;-&quot;??\ &quot;€&quot;_-;_-@_-"/>
  </numFmts>
  <fonts count="35">
    <font>
      <sz val="10"/>
      <name val="Verdana"/>
    </font>
    <font>
      <sz val="8"/>
      <name val="Verdana"/>
      <family val="2"/>
      <charset val="238"/>
    </font>
    <font>
      <sz val="12"/>
      <name val="Garamond Premr Pro"/>
      <family val="1"/>
    </font>
    <font>
      <sz val="10"/>
      <name val="Garamond Premr Pro"/>
      <family val="1"/>
    </font>
    <font>
      <sz val="10"/>
      <name val="Verdana"/>
      <family val="2"/>
      <charset val="238"/>
    </font>
    <font>
      <u/>
      <sz val="10"/>
      <color theme="10"/>
      <name val="Verdana"/>
      <family val="2"/>
      <charset val="238"/>
    </font>
    <font>
      <u/>
      <sz val="10"/>
      <color theme="11"/>
      <name val="Verdana"/>
      <family val="2"/>
      <charset val="238"/>
    </font>
    <font>
      <b/>
      <sz val="16"/>
      <color rgb="FF001892"/>
      <name val="Garamond"/>
      <family val="1"/>
    </font>
    <font>
      <b/>
      <sz val="10"/>
      <name val="Garamond"/>
      <family val="1"/>
    </font>
    <font>
      <sz val="10"/>
      <name val="Garamond"/>
      <family val="1"/>
    </font>
    <font>
      <sz val="12"/>
      <name val="Garamond"/>
      <family val="1"/>
    </font>
    <font>
      <b/>
      <sz val="12"/>
      <name val="Garamond"/>
      <family val="1"/>
    </font>
    <font>
      <b/>
      <sz val="12"/>
      <color indexed="8"/>
      <name val="Garamond"/>
      <family val="1"/>
    </font>
    <font>
      <sz val="12"/>
      <color indexed="8"/>
      <name val="Garamond"/>
      <family val="1"/>
    </font>
    <font>
      <i/>
      <sz val="12"/>
      <name val="Garamond"/>
      <family val="1"/>
    </font>
    <font>
      <b/>
      <i/>
      <sz val="10"/>
      <name val="Garamond"/>
      <family val="1"/>
    </font>
    <font>
      <b/>
      <sz val="16"/>
      <name val="Garamond"/>
      <family val="1"/>
    </font>
    <font>
      <b/>
      <i/>
      <sz val="12"/>
      <name val="Garamond"/>
      <family val="1"/>
    </font>
    <font>
      <sz val="11"/>
      <name val="Garamond"/>
      <family val="1"/>
    </font>
    <font>
      <b/>
      <u/>
      <sz val="12"/>
      <name val="Garamond"/>
      <family val="1"/>
    </font>
    <font>
      <b/>
      <sz val="12"/>
      <name val="Verdana"/>
      <family val="2"/>
    </font>
    <font>
      <i/>
      <sz val="12"/>
      <color rgb="FFFF0000"/>
      <name val="Garamond"/>
      <family val="1"/>
    </font>
    <font>
      <sz val="12"/>
      <color rgb="FFFF0000"/>
      <name val="Garamond"/>
      <family val="1"/>
    </font>
    <font>
      <sz val="10"/>
      <name val="Verdana"/>
      <family val="2"/>
    </font>
    <font>
      <sz val="11"/>
      <color theme="1"/>
      <name val="Calibri"/>
      <family val="2"/>
      <scheme val="minor"/>
    </font>
    <font>
      <sz val="11"/>
      <color indexed="8"/>
      <name val="Calibri"/>
      <family val="2"/>
    </font>
    <font>
      <b/>
      <sz val="12"/>
      <name val="Garamond"/>
      <family val="1"/>
      <charset val="238"/>
    </font>
    <font>
      <sz val="12"/>
      <name val="Garamond"/>
      <family val="1"/>
      <charset val="238"/>
    </font>
    <font>
      <b/>
      <sz val="18"/>
      <color rgb="FF001892"/>
      <name val="Garamond"/>
      <family val="1"/>
    </font>
    <font>
      <b/>
      <sz val="12"/>
      <name val="Verdana"/>
      <family val="2"/>
      <charset val="238"/>
    </font>
    <font>
      <b/>
      <sz val="10"/>
      <name val="Garamond Premr Pro"/>
      <charset val="238"/>
    </font>
    <font>
      <b/>
      <sz val="16"/>
      <color indexed="62"/>
      <name val="Garamond"/>
      <family val="1"/>
    </font>
    <font>
      <b/>
      <sz val="10"/>
      <name val="Verdana"/>
      <family val="2"/>
      <charset val="238"/>
    </font>
    <font>
      <b/>
      <sz val="10"/>
      <name val="Verdana"/>
      <family val="2"/>
    </font>
    <font>
      <b/>
      <sz val="12"/>
      <color indexed="8"/>
      <name val="Garamond"/>
      <family val="1"/>
      <charset val="238"/>
    </font>
  </fonts>
  <fills count="6">
    <fill>
      <patternFill patternType="none"/>
    </fill>
    <fill>
      <patternFill patternType="gray125"/>
    </fill>
    <fill>
      <patternFill patternType="solid">
        <fgColor theme="0"/>
        <bgColor indexed="64"/>
      </patternFill>
    </fill>
    <fill>
      <patternFill patternType="solid">
        <fgColor rgb="FFAAE1FA"/>
        <bgColor indexed="64"/>
      </patternFill>
    </fill>
    <fill>
      <patternFill patternType="solid">
        <fgColor indexed="9"/>
        <bgColor indexed="64"/>
      </patternFill>
    </fill>
    <fill>
      <patternFill patternType="solid">
        <fgColor theme="6" tint="0.59999389629810485"/>
        <bgColor indexed="64"/>
      </patternFill>
    </fill>
  </fills>
  <borders count="16">
    <border>
      <left/>
      <right/>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258">
    <xf numFmtId="0" fontId="0" fillId="0" borderId="0" applyProtection="0"/>
    <xf numFmtId="0" fontId="4" fillId="0" borderId="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3" fillId="0" borderId="0" applyProtection="0"/>
    <xf numFmtId="43" fontId="4" fillId="0" borderId="0" applyFont="0" applyFill="0" applyBorder="0" applyAlignment="0" applyProtection="0"/>
    <xf numFmtId="0" fontId="24" fillId="0" borderId="0"/>
    <xf numFmtId="164" fontId="25" fillId="0" borderId="0" applyFont="0" applyFill="0" applyBorder="0" applyAlignment="0" applyProtection="0"/>
  </cellStyleXfs>
  <cellXfs count="569">
    <xf numFmtId="0" fontId="0" fillId="0" borderId="0" xfId="0"/>
    <xf numFmtId="0" fontId="3" fillId="0" borderId="0" xfId="0" applyFont="1" applyFill="1" applyProtection="1">
      <protection locked="0"/>
    </xf>
    <xf numFmtId="3" fontId="2" fillId="0" borderId="0" xfId="0" applyNumberFormat="1" applyFont="1" applyFill="1" applyBorder="1" applyAlignment="1" applyProtection="1">
      <alignment horizontal="center"/>
      <protection locked="0"/>
    </xf>
    <xf numFmtId="0" fontId="3" fillId="0" borderId="0" xfId="0" applyFont="1" applyFill="1" applyAlignment="1" applyProtection="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center" vertical="top" wrapText="1"/>
      <protection locked="0"/>
    </xf>
    <xf numFmtId="3" fontId="2" fillId="0" borderId="0" xfId="0" applyNumberFormat="1" applyFont="1" applyFill="1" applyBorder="1" applyAlignment="1" applyProtection="1">
      <alignment horizontal="center" vertical="top" wrapText="1"/>
      <protection locked="0"/>
    </xf>
    <xf numFmtId="0" fontId="3" fillId="0" borderId="0" xfId="0" applyFont="1"/>
    <xf numFmtId="0" fontId="3" fillId="2" borderId="0" xfId="0" applyFont="1" applyFill="1" applyProtection="1">
      <protection locked="0"/>
    </xf>
    <xf numFmtId="0" fontId="7" fillId="0" borderId="0" xfId="0" applyFont="1" applyFill="1" applyAlignment="1" applyProtection="1">
      <protection locked="0"/>
    </xf>
    <xf numFmtId="0" fontId="8" fillId="0" borderId="0" xfId="0" applyFont="1" applyFill="1" applyAlignment="1" applyProtection="1">
      <protection locked="0"/>
    </xf>
    <xf numFmtId="0" fontId="9" fillId="0" borderId="0" xfId="0" applyFont="1" applyFill="1" applyBorder="1" applyProtection="1">
      <protection locked="0"/>
    </xf>
    <xf numFmtId="0" fontId="10" fillId="0" borderId="0" xfId="0" applyFont="1" applyFill="1" applyProtection="1">
      <protection locked="0"/>
    </xf>
    <xf numFmtId="0" fontId="11" fillId="0" borderId="1" xfId="0" applyFont="1" applyFill="1" applyBorder="1" applyAlignment="1" applyProtection="1">
      <alignment vertical="top"/>
      <protection locked="0"/>
    </xf>
    <xf numFmtId="0" fontId="10" fillId="0" borderId="0" xfId="0" applyFont="1" applyFill="1" applyBorder="1" applyAlignment="1" applyProtection="1">
      <protection locked="0"/>
    </xf>
    <xf numFmtId="0" fontId="10" fillId="0" borderId="9" xfId="0" applyFont="1" applyFill="1" applyBorder="1" applyAlignment="1" applyProtection="1">
      <alignment vertical="top"/>
      <protection locked="0"/>
    </xf>
    <xf numFmtId="3" fontId="10" fillId="3" borderId="9" xfId="0" applyNumberFormat="1" applyFont="1" applyFill="1" applyBorder="1" applyAlignment="1" applyProtection="1">
      <alignment horizontal="center"/>
      <protection locked="0"/>
    </xf>
    <xf numFmtId="3" fontId="10" fillId="2" borderId="9" xfId="0" applyNumberFormat="1" applyFont="1" applyFill="1" applyBorder="1" applyAlignment="1" applyProtection="1">
      <alignment horizontal="center"/>
      <protection locked="0"/>
    </xf>
    <xf numFmtId="3" fontId="10" fillId="2" borderId="7" xfId="0" applyNumberFormat="1" applyFont="1" applyFill="1" applyBorder="1" applyAlignment="1" applyProtection="1">
      <alignment horizontal="center"/>
      <protection locked="0"/>
    </xf>
    <xf numFmtId="3" fontId="10" fillId="3" borderId="7" xfId="0" applyNumberFormat="1" applyFont="1" applyFill="1" applyBorder="1" applyAlignment="1" applyProtection="1">
      <alignment horizontal="center"/>
      <protection locked="0"/>
    </xf>
    <xf numFmtId="3" fontId="10" fillId="0" borderId="1" xfId="0" applyNumberFormat="1" applyFont="1" applyFill="1" applyBorder="1" applyAlignment="1" applyProtection="1">
      <alignment horizontal="center"/>
      <protection locked="0"/>
    </xf>
    <xf numFmtId="0" fontId="10" fillId="0" borderId="9" xfId="0" applyFont="1" applyFill="1" applyBorder="1" applyAlignment="1">
      <alignment horizontal="justify" vertical="top" wrapText="1"/>
    </xf>
    <xf numFmtId="49" fontId="10" fillId="0" borderId="0" xfId="0" quotePrefix="1" applyNumberFormat="1" applyFont="1" applyFill="1" applyBorder="1" applyAlignment="1" applyProtection="1">
      <alignment vertical="center"/>
      <protection locked="0"/>
    </xf>
    <xf numFmtId="0" fontId="11" fillId="0" borderId="9" xfId="0" applyFont="1" applyFill="1" applyBorder="1" applyAlignment="1" applyProtection="1">
      <alignment vertical="center" wrapText="1"/>
      <protection locked="0"/>
    </xf>
    <xf numFmtId="0" fontId="7" fillId="0" borderId="0"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14" xfId="0" applyFont="1" applyFill="1" applyBorder="1" applyAlignment="1">
      <alignment horizontal="left" vertical="top" wrapText="1"/>
    </xf>
    <xf numFmtId="0" fontId="10" fillId="3" borderId="11" xfId="0" applyFont="1" applyFill="1" applyBorder="1" applyAlignment="1">
      <alignment horizontal="left" vertical="top" wrapText="1"/>
    </xf>
    <xf numFmtId="0" fontId="15" fillId="0" borderId="0" xfId="0" applyFont="1" applyFill="1" applyAlignment="1" applyProtection="1">
      <alignment wrapText="1"/>
      <protection locked="0"/>
    </xf>
    <xf numFmtId="0" fontId="11" fillId="0" borderId="15" xfId="0" applyFont="1" applyFill="1" applyBorder="1" applyAlignment="1" applyProtection="1">
      <alignment horizontal="left" vertical="top" wrapText="1"/>
      <protection locked="0"/>
    </xf>
    <xf numFmtId="3" fontId="10" fillId="0" borderId="0" xfId="0" applyNumberFormat="1" applyFont="1" applyFill="1" applyBorder="1" applyAlignment="1" applyProtection="1">
      <alignment horizontal="center"/>
      <protection locked="0"/>
    </xf>
    <xf numFmtId="0" fontId="10" fillId="3" borderId="9" xfId="0" applyFont="1" applyFill="1" applyBorder="1" applyAlignment="1">
      <alignment horizontal="center" vertical="top" wrapText="1"/>
    </xf>
    <xf numFmtId="0" fontId="10" fillId="3" borderId="9" xfId="0" applyFont="1" applyFill="1" applyBorder="1" applyAlignment="1" applyProtection="1">
      <alignment horizontal="center" vertical="top"/>
      <protection locked="0"/>
    </xf>
    <xf numFmtId="0" fontId="10" fillId="0" borderId="7"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9" xfId="0" applyFont="1" applyFill="1" applyBorder="1" applyAlignment="1" applyProtection="1">
      <alignment wrapText="1"/>
      <protection locked="0"/>
    </xf>
    <xf numFmtId="0" fontId="14" fillId="0" borderId="0" xfId="0" applyFont="1" applyFill="1" applyAlignment="1" applyProtection="1">
      <alignment horizontal="left"/>
      <protection locked="0"/>
    </xf>
    <xf numFmtId="0" fontId="11" fillId="0" borderId="3" xfId="0" applyFont="1" applyFill="1" applyBorder="1" applyAlignment="1" applyProtection="1">
      <alignment horizontal="left" vertical="top" wrapText="1"/>
      <protection locked="0"/>
    </xf>
    <xf numFmtId="0" fontId="11" fillId="0" borderId="7" xfId="0" applyFont="1" applyFill="1" applyBorder="1" applyAlignment="1">
      <alignment horizontal="left" vertical="top" wrapText="1"/>
    </xf>
    <xf numFmtId="0" fontId="10" fillId="3" borderId="8"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6" fillId="0" borderId="0" xfId="0" applyFont="1" applyFill="1" applyAlignment="1" applyProtection="1">
      <protection locked="0"/>
    </xf>
    <xf numFmtId="0" fontId="16" fillId="2" borderId="0" xfId="0" applyFont="1" applyFill="1" applyAlignment="1" applyProtection="1">
      <protection locked="0"/>
    </xf>
    <xf numFmtId="0" fontId="10" fillId="0" borderId="0" xfId="0" applyFont="1" applyFill="1" applyAlignment="1" applyProtection="1">
      <protection locked="0"/>
    </xf>
    <xf numFmtId="0" fontId="12" fillId="3" borderId="9" xfId="0" applyFont="1" applyFill="1" applyBorder="1" applyAlignment="1" applyProtection="1">
      <alignment horizontal="center" vertical="center"/>
      <protection locked="0"/>
    </xf>
    <xf numFmtId="49" fontId="12" fillId="3" borderId="9"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vertical="top" wrapText="1"/>
      <protection locked="0"/>
    </xf>
    <xf numFmtId="0" fontId="10" fillId="0"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right" vertical="top" wrapText="1"/>
      <protection locked="0"/>
    </xf>
    <xf numFmtId="0" fontId="10" fillId="0" borderId="1" xfId="0" applyFont="1" applyFill="1" applyBorder="1" applyAlignment="1" applyProtection="1">
      <alignment horizontal="right" vertical="top" wrapText="1"/>
      <protection locked="0"/>
    </xf>
    <xf numFmtId="0" fontId="10" fillId="2" borderId="7" xfId="0" applyFont="1" applyFill="1" applyBorder="1" applyAlignment="1" applyProtection="1">
      <alignment horizontal="center" vertical="top" wrapText="1"/>
      <protection locked="0"/>
    </xf>
    <xf numFmtId="0" fontId="10" fillId="0" borderId="3" xfId="0" applyFont="1" applyFill="1" applyBorder="1" applyAlignment="1" applyProtection="1">
      <alignment vertical="top"/>
      <protection locked="0"/>
    </xf>
    <xf numFmtId="49" fontId="11" fillId="0" borderId="8" xfId="0" applyNumberFormat="1" applyFont="1" applyFill="1" applyBorder="1" applyAlignment="1" applyProtection="1">
      <alignment vertical="top"/>
      <protection locked="0"/>
    </xf>
    <xf numFmtId="0" fontId="17" fillId="0" borderId="8" xfId="0" applyFont="1" applyFill="1" applyBorder="1" applyAlignment="1" applyProtection="1">
      <alignment vertical="top" wrapText="1"/>
      <protection locked="0"/>
    </xf>
    <xf numFmtId="0" fontId="10" fillId="0" borderId="8"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0" fillId="2" borderId="10" xfId="0" applyFont="1" applyFill="1" applyBorder="1" applyAlignment="1" applyProtection="1">
      <alignment horizontal="center" vertical="top" wrapText="1"/>
      <protection locked="0"/>
    </xf>
    <xf numFmtId="0" fontId="10" fillId="2" borderId="9" xfId="0" applyFont="1" applyFill="1" applyBorder="1" applyAlignment="1" applyProtection="1">
      <alignment horizontal="center" vertical="top" wrapText="1"/>
      <protection locked="0"/>
    </xf>
    <xf numFmtId="49" fontId="10" fillId="3" borderId="9" xfId="0" applyNumberFormat="1" applyFont="1" applyFill="1" applyBorder="1" applyAlignment="1" applyProtection="1">
      <alignment horizontal="center" vertical="top"/>
      <protection locked="0"/>
    </xf>
    <xf numFmtId="0" fontId="10" fillId="0" borderId="1" xfId="0" applyFont="1" applyFill="1" applyBorder="1" applyAlignment="1" applyProtection="1">
      <protection locked="0"/>
    </xf>
    <xf numFmtId="0" fontId="10" fillId="2" borderId="9"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49" fontId="10" fillId="2" borderId="9" xfId="0" applyNumberFormat="1" applyFont="1" applyFill="1" applyBorder="1" applyAlignment="1" applyProtection="1">
      <alignment horizontal="center" vertical="top"/>
      <protection locked="0"/>
    </xf>
    <xf numFmtId="49" fontId="10" fillId="3" borderId="9" xfId="0" applyNumberFormat="1" applyFont="1" applyFill="1" applyBorder="1" applyAlignment="1" applyProtection="1">
      <alignment horizontal="center" vertical="top" wrapText="1"/>
      <protection locked="0"/>
    </xf>
    <xf numFmtId="0" fontId="10" fillId="3" borderId="9" xfId="0" applyNumberFormat="1" applyFont="1" applyFill="1" applyBorder="1" applyAlignment="1" applyProtection="1">
      <alignment horizontal="center" vertical="top"/>
      <protection locked="0"/>
    </xf>
    <xf numFmtId="17" fontId="10" fillId="3" borderId="9" xfId="0" applyNumberFormat="1" applyFont="1" applyFill="1" applyBorder="1" applyAlignment="1" applyProtection="1">
      <alignment horizontal="center" vertical="top" wrapText="1"/>
      <protection locked="0"/>
    </xf>
    <xf numFmtId="0" fontId="10" fillId="3" borderId="7" xfId="0" applyNumberFormat="1" applyFont="1" applyFill="1" applyBorder="1" applyAlignment="1" applyProtection="1">
      <alignment horizontal="center" vertical="top"/>
      <protection locked="0"/>
    </xf>
    <xf numFmtId="3" fontId="10" fillId="0" borderId="0" xfId="0" applyNumberFormat="1" applyFont="1" applyFill="1" applyBorder="1" applyAlignment="1" applyProtection="1">
      <alignment horizontal="center" vertical="top" wrapText="1"/>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locked="0"/>
    </xf>
    <xf numFmtId="0" fontId="8" fillId="0" borderId="0" xfId="0" applyFont="1" applyFill="1" applyBorder="1" applyAlignment="1" applyProtection="1">
      <protection locked="0"/>
    </xf>
    <xf numFmtId="0" fontId="10" fillId="0" borderId="0" xfId="0" applyFont="1" applyFill="1" applyBorder="1" applyProtection="1">
      <protection locked="0"/>
    </xf>
    <xf numFmtId="0" fontId="11" fillId="0" borderId="7" xfId="0" applyFont="1" applyFill="1" applyBorder="1" applyAlignment="1" applyProtection="1">
      <alignment horizontal="left" vertical="top" wrapText="1"/>
      <protection locked="0"/>
    </xf>
    <xf numFmtId="0" fontId="10" fillId="2" borderId="10" xfId="0" applyFont="1" applyFill="1" applyBorder="1" applyAlignment="1" applyProtection="1">
      <alignment horizontal="right" vertical="top" wrapText="1"/>
      <protection locked="0"/>
    </xf>
    <xf numFmtId="0" fontId="10" fillId="3" borderId="9"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11" fillId="0" borderId="9" xfId="0" applyFont="1" applyFill="1" applyBorder="1" applyAlignment="1" applyProtection="1">
      <alignment vertical="top" wrapText="1"/>
      <protection locked="0"/>
    </xf>
    <xf numFmtId="0" fontId="7" fillId="0" borderId="0" xfId="0" applyFont="1" applyFill="1" applyAlignment="1" applyProtection="1">
      <alignment horizontal="left"/>
      <protection locked="0"/>
    </xf>
    <xf numFmtId="0" fontId="15" fillId="0" borderId="0" xfId="0" applyFont="1" applyFill="1" applyBorder="1" applyAlignment="1" applyProtection="1">
      <alignment wrapText="1"/>
      <protection locked="0"/>
    </xf>
    <xf numFmtId="0" fontId="10" fillId="2" borderId="9" xfId="0" applyFont="1" applyFill="1" applyBorder="1" applyAlignment="1" applyProtection="1">
      <alignment horizontal="center" wrapText="1"/>
      <protection locked="0"/>
    </xf>
    <xf numFmtId="0" fontId="18" fillId="3" borderId="9" xfId="0" applyNumberFormat="1" applyFont="1" applyFill="1" applyBorder="1" applyAlignment="1">
      <alignment horizontal="center"/>
    </xf>
    <xf numFmtId="0" fontId="10" fillId="0" borderId="10" xfId="0" applyFont="1" applyFill="1" applyBorder="1" applyAlignment="1" applyProtection="1">
      <alignment horizontal="right" vertical="top" wrapText="1"/>
      <protection locked="0"/>
    </xf>
    <xf numFmtId="0" fontId="10" fillId="0" borderId="9" xfId="0" applyFont="1" applyFill="1" applyBorder="1" applyAlignment="1" applyProtection="1">
      <alignment horizontal="center" vertical="top" wrapText="1"/>
      <protection locked="0"/>
    </xf>
    <xf numFmtId="0" fontId="10" fillId="0" borderId="7"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protection locked="0"/>
    </xf>
    <xf numFmtId="0" fontId="9" fillId="0" borderId="0" xfId="0" applyFont="1" applyBorder="1" applyAlignment="1"/>
    <xf numFmtId="0" fontId="15" fillId="0" borderId="0" xfId="0" applyFont="1" applyFill="1" applyAlignment="1" applyProtection="1">
      <alignment vertical="top" wrapText="1"/>
      <protection locked="0"/>
    </xf>
    <xf numFmtId="0" fontId="15" fillId="2" borderId="0" xfId="0" applyFont="1" applyFill="1" applyAlignment="1" applyProtection="1">
      <alignment vertical="top" wrapText="1"/>
      <protection locked="0"/>
    </xf>
    <xf numFmtId="0" fontId="9" fillId="2" borderId="0" xfId="0" applyFont="1" applyFill="1" applyBorder="1" applyAlignment="1" applyProtection="1">
      <alignment vertical="top"/>
      <protection locked="0"/>
    </xf>
    <xf numFmtId="3" fontId="10" fillId="2" borderId="9" xfId="0" applyNumberFormat="1" applyFont="1" applyFill="1" applyBorder="1" applyAlignment="1" applyProtection="1">
      <alignment horizontal="center" vertical="top" wrapText="1"/>
      <protection locked="0"/>
    </xf>
    <xf numFmtId="0" fontId="9" fillId="0" borderId="0" xfId="0" applyFont="1" applyBorder="1" applyAlignment="1">
      <alignment wrapText="1"/>
    </xf>
    <xf numFmtId="0" fontId="17" fillId="0" borderId="0" xfId="0" applyFont="1" applyFill="1" applyBorder="1" applyAlignment="1" applyProtection="1">
      <alignment vertical="top" wrapText="1"/>
      <protection locked="0"/>
    </xf>
    <xf numFmtId="0" fontId="10" fillId="2" borderId="0" xfId="0" applyFont="1" applyFill="1" applyBorder="1" applyAlignment="1" applyProtection="1">
      <alignment horizontal="center" vertical="top" wrapText="1"/>
      <protection locked="0"/>
    </xf>
    <xf numFmtId="0" fontId="10" fillId="2" borderId="0" xfId="0" applyFont="1" applyFill="1" applyBorder="1" applyAlignment="1" applyProtection="1">
      <alignment horizontal="right" vertical="top" wrapText="1"/>
      <protection locked="0"/>
    </xf>
    <xf numFmtId="0" fontId="21" fillId="0" borderId="0" xfId="0" applyFont="1" applyFill="1" applyProtection="1">
      <protection locked="0"/>
    </xf>
    <xf numFmtId="0" fontId="22" fillId="0" borderId="0" xfId="0" applyFont="1" applyFill="1" applyProtection="1">
      <protection locked="0"/>
    </xf>
    <xf numFmtId="3" fontId="10" fillId="0" borderId="9" xfId="0" applyNumberFormat="1" applyFont="1" applyFill="1" applyBorder="1" applyAlignment="1" applyProtection="1">
      <alignment horizontal="center"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5" borderId="3" xfId="0" applyFont="1" applyFill="1" applyBorder="1" applyAlignment="1" applyProtection="1">
      <alignment vertical="top"/>
      <protection locked="0"/>
    </xf>
    <xf numFmtId="0" fontId="9" fillId="0" borderId="15" xfId="0" applyFont="1" applyBorder="1" applyAlignment="1">
      <alignment horizontal="left" vertical="top" wrapText="1"/>
    </xf>
    <xf numFmtId="0" fontId="9" fillId="0" borderId="0" xfId="0" applyFont="1" applyBorder="1" applyAlignment="1">
      <alignment vertical="center"/>
    </xf>
    <xf numFmtId="0" fontId="11" fillId="0" borderId="10" xfId="0" applyFont="1" applyFill="1" applyBorder="1" applyAlignment="1" applyProtection="1">
      <alignment vertical="top"/>
      <protection locked="0"/>
    </xf>
    <xf numFmtId="0" fontId="17" fillId="0" borderId="10" xfId="0" applyFont="1" applyFill="1" applyBorder="1" applyAlignment="1" applyProtection="1">
      <alignment vertical="top" wrapText="1"/>
      <protection locked="0"/>
    </xf>
    <xf numFmtId="0" fontId="10" fillId="3" borderId="7" xfId="0" applyFont="1" applyFill="1" applyBorder="1" applyAlignment="1" applyProtection="1">
      <alignment horizontal="center" vertical="top"/>
      <protection locked="0"/>
    </xf>
    <xf numFmtId="0" fontId="10" fillId="3" borderId="7" xfId="0" applyFont="1" applyFill="1" applyBorder="1" applyAlignment="1" applyProtection="1">
      <alignment horizontal="center" vertical="top" wrapText="1"/>
      <protection locked="0"/>
    </xf>
    <xf numFmtId="3" fontId="10" fillId="0" borderId="9" xfId="0" applyNumberFormat="1" applyFont="1" applyFill="1" applyBorder="1" applyAlignment="1" applyProtection="1">
      <alignment horizontal="center"/>
      <protection locked="0"/>
    </xf>
    <xf numFmtId="3" fontId="10" fillId="0" borderId="9" xfId="0" applyNumberFormat="1" applyFont="1" applyFill="1" applyBorder="1" applyAlignment="1" applyProtection="1">
      <alignment horizontal="center" vertical="top" wrapText="1"/>
      <protection locked="0"/>
    </xf>
    <xf numFmtId="0" fontId="10" fillId="3" borderId="8"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10" fillId="3" borderId="0" xfId="0" applyFont="1" applyFill="1" applyBorder="1" applyAlignment="1">
      <alignment horizontal="left" vertical="top"/>
    </xf>
    <xf numFmtId="0" fontId="14" fillId="0" borderId="0" xfId="0" applyFont="1" applyFill="1" applyBorder="1" applyAlignment="1" applyProtection="1">
      <alignment horizontal="left" vertical="center" wrapText="1"/>
      <protection locked="0"/>
    </xf>
    <xf numFmtId="0" fontId="11" fillId="4" borderId="8" xfId="0" applyFont="1" applyFill="1" applyBorder="1" applyAlignment="1">
      <alignment vertical="top" wrapText="1"/>
    </xf>
    <xf numFmtId="0" fontId="11" fillId="0" borderId="9" xfId="0" applyFont="1" applyFill="1" applyBorder="1" applyAlignment="1" applyProtection="1">
      <alignment horizontal="left" vertical="top" wrapText="1"/>
      <protection locked="0"/>
    </xf>
    <xf numFmtId="0" fontId="11" fillId="0" borderId="9" xfId="0" applyFont="1" applyBorder="1" applyAlignment="1">
      <alignment horizontal="left" vertical="top" wrapText="1"/>
    </xf>
    <xf numFmtId="0" fontId="11" fillId="0" borderId="9" xfId="0" applyFont="1" applyFill="1" applyBorder="1" applyAlignment="1">
      <alignment horizontal="left" vertical="top" wrapText="1"/>
    </xf>
    <xf numFmtId="0" fontId="9" fillId="0" borderId="0" xfId="0" applyFont="1" applyBorder="1" applyAlignment="1">
      <alignment horizontal="left" vertical="center" wrapText="1"/>
    </xf>
    <xf numFmtId="0" fontId="7" fillId="0" borderId="0" xfId="0" applyFont="1" applyFill="1" applyBorder="1" applyAlignment="1" applyProtection="1">
      <protection locked="0"/>
    </xf>
    <xf numFmtId="0" fontId="10" fillId="3" borderId="9"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left" vertical="top" wrapText="1"/>
      <protection locked="0"/>
    </xf>
    <xf numFmtId="0" fontId="10" fillId="2" borderId="9" xfId="0" applyFont="1" applyFill="1" applyBorder="1" applyAlignment="1" applyProtection="1">
      <alignment vertical="top"/>
      <protection locked="0"/>
    </xf>
    <xf numFmtId="0" fontId="22" fillId="2" borderId="9" xfId="0" applyFont="1" applyFill="1" applyBorder="1" applyAlignment="1" applyProtection="1">
      <alignment vertical="top"/>
      <protection locked="0"/>
    </xf>
    <xf numFmtId="0" fontId="22" fillId="3" borderId="9" xfId="0" applyFont="1" applyFill="1" applyBorder="1" applyAlignment="1" applyProtection="1">
      <alignment horizontal="center" vertical="top" wrapText="1"/>
      <protection locked="0"/>
    </xf>
    <xf numFmtId="0" fontId="22" fillId="2" borderId="7" xfId="0" applyFont="1" applyFill="1" applyBorder="1" applyAlignment="1" applyProtection="1">
      <alignment vertical="top"/>
      <protection locked="0"/>
    </xf>
    <xf numFmtId="0" fontId="10" fillId="2" borderId="7" xfId="0" applyFont="1" applyFill="1" applyBorder="1" applyAlignment="1" applyProtection="1">
      <alignment vertical="top"/>
      <protection locked="0"/>
    </xf>
    <xf numFmtId="49" fontId="22" fillId="3" borderId="9" xfId="0" applyNumberFormat="1" applyFont="1" applyFill="1" applyBorder="1" applyAlignment="1" applyProtection="1">
      <alignment horizontal="center" vertical="top" wrapText="1"/>
      <protection locked="0"/>
    </xf>
    <xf numFmtId="0" fontId="28" fillId="0" borderId="0" xfId="0" applyFont="1" applyFill="1" applyAlignment="1" applyProtection="1">
      <protection locked="0"/>
    </xf>
    <xf numFmtId="0" fontId="22" fillId="0" borderId="3" xfId="0" applyFont="1" applyFill="1" applyBorder="1" applyAlignment="1" applyProtection="1">
      <alignment vertical="top"/>
      <protection locked="0"/>
    </xf>
    <xf numFmtId="0" fontId="30" fillId="0" borderId="0" xfId="0" applyFont="1" applyFill="1" applyProtection="1">
      <protection locked="0"/>
    </xf>
    <xf numFmtId="0" fontId="10" fillId="3" borderId="1"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1" fillId="0" borderId="9" xfId="0" applyFont="1" applyBorder="1" applyAlignment="1">
      <alignment horizontal="left" vertical="top" wrapText="1"/>
    </xf>
    <xf numFmtId="0" fontId="11" fillId="0" borderId="9" xfId="0" applyFont="1" applyFill="1" applyBorder="1" applyAlignment="1">
      <alignment horizontal="left" vertical="top" wrapText="1"/>
    </xf>
    <xf numFmtId="0" fontId="11" fillId="0" borderId="9" xfId="0" applyFont="1" applyFill="1" applyBorder="1" applyAlignment="1" applyProtection="1">
      <alignment horizontal="left" vertical="top" wrapText="1"/>
      <protection locked="0"/>
    </xf>
    <xf numFmtId="0" fontId="22" fillId="3" borderId="7" xfId="0" applyNumberFormat="1" applyFont="1" applyFill="1" applyBorder="1" applyAlignment="1" applyProtection="1">
      <alignment horizontal="center" vertical="top"/>
      <protection locked="0"/>
    </xf>
    <xf numFmtId="0" fontId="8" fillId="0" borderId="0" xfId="0" applyFont="1" applyFill="1" applyAlignment="1" applyProtection="1">
      <alignment horizontal="center"/>
      <protection locked="0"/>
    </xf>
    <xf numFmtId="0" fontId="8" fillId="2" borderId="0" xfId="0" applyFont="1" applyFill="1" applyAlignment="1" applyProtection="1">
      <protection locked="0"/>
    </xf>
    <xf numFmtId="0" fontId="9" fillId="2" borderId="0" xfId="0" applyFont="1" applyFill="1" applyBorder="1" applyProtection="1">
      <protection locked="0"/>
    </xf>
    <xf numFmtId="0" fontId="10" fillId="0" borderId="0" xfId="0" applyFont="1" applyFill="1" applyAlignment="1" applyProtection="1">
      <alignment horizontal="center"/>
      <protection locked="0"/>
    </xf>
    <xf numFmtId="0" fontId="10" fillId="2" borderId="0" xfId="0" applyFont="1" applyFill="1" applyProtection="1">
      <protection locked="0"/>
    </xf>
    <xf numFmtId="0" fontId="11" fillId="3" borderId="9" xfId="0" applyFont="1" applyFill="1" applyBorder="1" applyAlignment="1" applyProtection="1">
      <alignment horizontal="center"/>
      <protection locked="0"/>
    </xf>
    <xf numFmtId="49" fontId="10" fillId="0" borderId="8" xfId="0" applyNumberFormat="1" applyFont="1" applyFill="1" applyBorder="1" applyAlignment="1">
      <alignment horizontal="center" vertical="top" wrapText="1"/>
    </xf>
    <xf numFmtId="0" fontId="10" fillId="0" borderId="8" xfId="0" applyFont="1" applyFill="1" applyBorder="1" applyAlignment="1">
      <alignment horizontal="center" vertical="top" wrapText="1"/>
    </xf>
    <xf numFmtId="3" fontId="10" fillId="2" borderId="8" xfId="0" applyNumberFormat="1" applyFont="1" applyFill="1" applyBorder="1" applyAlignment="1" applyProtection="1">
      <alignment horizontal="center"/>
      <protection locked="0"/>
    </xf>
    <xf numFmtId="3" fontId="10" fillId="0" borderId="8" xfId="0" applyNumberFormat="1" applyFont="1" applyFill="1" applyBorder="1" applyAlignment="1" applyProtection="1">
      <alignment horizontal="center"/>
      <protection locked="0"/>
    </xf>
    <xf numFmtId="3" fontId="10" fillId="0" borderId="8" xfId="0" applyNumberFormat="1" applyFont="1" applyFill="1" applyBorder="1" applyAlignment="1" applyProtection="1">
      <alignment horizontal="center" vertical="top"/>
      <protection locked="0"/>
    </xf>
    <xf numFmtId="0" fontId="10" fillId="0" borderId="9" xfId="0" applyFont="1" applyFill="1" applyBorder="1" applyAlignment="1">
      <alignment horizontal="center" vertical="top" wrapText="1"/>
    </xf>
    <xf numFmtId="3" fontId="10" fillId="2" borderId="9" xfId="255"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3" fillId="0" borderId="0" xfId="0" applyFont="1" applyFill="1"/>
    <xf numFmtId="3" fontId="10" fillId="0" borderId="0" xfId="0" applyNumberFormat="1" applyFont="1" applyFill="1" applyBorder="1" applyAlignment="1" applyProtection="1">
      <alignment horizontal="center" vertical="top"/>
      <protection locked="0"/>
    </xf>
    <xf numFmtId="0" fontId="11"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protection locked="0"/>
    </xf>
    <xf numFmtId="0" fontId="3" fillId="0" borderId="0" xfId="0" applyFont="1" applyFill="1" applyBorder="1"/>
    <xf numFmtId="49" fontId="10" fillId="3" borderId="9" xfId="0" applyNumberFormat="1" applyFont="1" applyFill="1" applyBorder="1" applyAlignment="1">
      <alignment horizontal="center" vertical="top" wrapText="1"/>
    </xf>
    <xf numFmtId="49" fontId="10" fillId="2" borderId="9" xfId="0" applyNumberFormat="1" applyFont="1" applyFill="1" applyBorder="1" applyAlignment="1">
      <alignment horizontal="center" vertical="top" wrapText="1"/>
    </xf>
    <xf numFmtId="3" fontId="10" fillId="2" borderId="3" xfId="0" applyNumberFormat="1" applyFont="1" applyFill="1" applyBorder="1" applyAlignment="1" applyProtection="1">
      <alignment horizontal="center"/>
      <protection locked="0"/>
    </xf>
    <xf numFmtId="0" fontId="11" fillId="0" borderId="15" xfId="0" applyFont="1" applyFill="1" applyBorder="1" applyAlignment="1" applyProtection="1">
      <alignment vertical="top"/>
      <protection locked="0"/>
    </xf>
    <xf numFmtId="3" fontId="10" fillId="2" borderId="1" xfId="0" applyNumberFormat="1" applyFont="1" applyFill="1" applyBorder="1" applyAlignment="1" applyProtection="1">
      <alignment horizontal="center"/>
      <protection locked="0"/>
    </xf>
    <xf numFmtId="0" fontId="10" fillId="0" borderId="3" xfId="0" applyFont="1" applyFill="1" applyBorder="1" applyAlignment="1">
      <alignment horizontal="center" vertical="top" wrapText="1"/>
    </xf>
    <xf numFmtId="0" fontId="10" fillId="3" borderId="9"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3" fontId="10" fillId="2" borderId="0" xfId="0" applyNumberFormat="1" applyFont="1" applyFill="1" applyBorder="1" applyAlignment="1" applyProtection="1">
      <alignment horizontal="center"/>
      <protection locked="0"/>
    </xf>
    <xf numFmtId="0" fontId="14" fillId="0" borderId="0" xfId="0" applyFont="1" applyFill="1" applyBorder="1" applyAlignment="1" applyProtection="1">
      <alignment horizontal="left" wrapText="1"/>
      <protection locked="0"/>
    </xf>
    <xf numFmtId="0" fontId="14" fillId="2" borderId="0" xfId="0" applyFont="1" applyFill="1" applyBorder="1" applyAlignment="1" applyProtection="1">
      <alignment horizontal="left" wrapText="1"/>
      <protection locked="0"/>
    </xf>
    <xf numFmtId="0" fontId="14" fillId="0" borderId="10" xfId="0" applyFont="1" applyFill="1" applyBorder="1" applyAlignment="1" applyProtection="1">
      <alignment horizontal="left" wrapText="1"/>
      <protection locked="0"/>
    </xf>
    <xf numFmtId="0" fontId="9" fillId="0" borderId="0" xfId="0" applyFont="1"/>
    <xf numFmtId="0" fontId="31" fillId="2"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15" fillId="2" borderId="0" xfId="0" applyFont="1" applyFill="1" applyAlignment="1" applyProtection="1">
      <alignment wrapText="1"/>
      <protection locked="0"/>
    </xf>
    <xf numFmtId="0" fontId="15" fillId="2" borderId="0" xfId="0" applyFont="1" applyFill="1" applyBorder="1" applyAlignment="1" applyProtection="1">
      <alignment wrapText="1"/>
      <protection locked="0"/>
    </xf>
    <xf numFmtId="0" fontId="11" fillId="2" borderId="9" xfId="0" applyFont="1" applyFill="1" applyBorder="1" applyAlignment="1" applyProtection="1">
      <alignment horizontal="left" vertical="top" wrapText="1"/>
      <protection locked="0"/>
    </xf>
    <xf numFmtId="0" fontId="10" fillId="2" borderId="0" xfId="0" applyFont="1" applyFill="1" applyBorder="1" applyProtection="1">
      <protection locked="0"/>
    </xf>
    <xf numFmtId="0" fontId="11" fillId="3" borderId="9" xfId="0" applyFont="1" applyFill="1" applyBorder="1" applyAlignment="1" applyProtection="1">
      <alignment horizontal="center" vertical="top"/>
      <protection locked="0"/>
    </xf>
    <xf numFmtId="0" fontId="10" fillId="0" borderId="3" xfId="0" applyFont="1" applyFill="1" applyBorder="1" applyAlignment="1">
      <alignment horizontal="justify" vertical="top" wrapText="1"/>
    </xf>
    <xf numFmtId="49" fontId="10" fillId="3" borderId="3" xfId="0" applyNumberFormat="1" applyFont="1" applyFill="1" applyBorder="1" applyAlignment="1">
      <alignment horizontal="center" vertical="top" wrapText="1"/>
    </xf>
    <xf numFmtId="49" fontId="10" fillId="2" borderId="6" xfId="0" applyNumberFormat="1"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 xfId="0" applyFont="1" applyFill="1" applyBorder="1" applyAlignment="1" applyProtection="1">
      <alignment horizontal="center"/>
      <protection locked="0"/>
    </xf>
    <xf numFmtId="3" fontId="10" fillId="4" borderId="1" xfId="0" applyNumberFormat="1" applyFont="1" applyFill="1" applyBorder="1" applyAlignment="1" applyProtection="1">
      <alignment horizontal="center"/>
      <protection locked="0"/>
    </xf>
    <xf numFmtId="0" fontId="10" fillId="0" borderId="15" xfId="0" applyFont="1" applyFill="1" applyBorder="1" applyAlignment="1">
      <alignment horizontal="justify" vertical="top" wrapText="1"/>
    </xf>
    <xf numFmtId="0" fontId="10" fillId="3" borderId="9" xfId="0" applyNumberFormat="1" applyFont="1" applyFill="1" applyBorder="1" applyAlignment="1">
      <alignment horizontal="center" vertical="top" wrapText="1"/>
    </xf>
    <xf numFmtId="0" fontId="10" fillId="2" borderId="9" xfId="0" applyNumberFormat="1" applyFont="1" applyFill="1" applyBorder="1" applyAlignment="1">
      <alignment horizontal="center" vertical="top" wrapText="1"/>
    </xf>
    <xf numFmtId="0" fontId="10" fillId="0" borderId="8" xfId="0" applyFont="1" applyFill="1" applyBorder="1" applyAlignment="1" applyProtection="1">
      <alignment horizontal="center"/>
      <protection locked="0"/>
    </xf>
    <xf numFmtId="3" fontId="10" fillId="4" borderId="10" xfId="0" applyNumberFormat="1" applyFont="1" applyFill="1" applyBorder="1" applyAlignment="1" applyProtection="1">
      <alignment horizontal="center"/>
      <protection locked="0"/>
    </xf>
    <xf numFmtId="0" fontId="10" fillId="0" borderId="9" xfId="0" applyFont="1" applyFill="1" applyBorder="1" applyAlignment="1">
      <alignment horizontal="justify" wrapText="1"/>
    </xf>
    <xf numFmtId="49" fontId="10" fillId="3" borderId="9" xfId="0" applyNumberFormat="1" applyFont="1" applyFill="1" applyBorder="1" applyAlignment="1">
      <alignment horizontal="center" wrapText="1"/>
    </xf>
    <xf numFmtId="49" fontId="10" fillId="2" borderId="9" xfId="0" applyNumberFormat="1" applyFont="1" applyFill="1" applyBorder="1" applyAlignment="1">
      <alignment horizontal="center" wrapText="1"/>
    </xf>
    <xf numFmtId="0" fontId="10" fillId="0" borderId="9" xfId="0" applyFont="1" applyFill="1" applyBorder="1" applyAlignment="1">
      <alignment horizontal="center" wrapText="1"/>
    </xf>
    <xf numFmtId="0" fontId="10" fillId="0" borderId="14" xfId="0" applyFont="1" applyFill="1" applyBorder="1" applyAlignment="1">
      <alignment horizontal="justify" wrapText="1"/>
    </xf>
    <xf numFmtId="49" fontId="10" fillId="3" borderId="7" xfId="0" applyNumberFormat="1" applyFont="1" applyFill="1" applyBorder="1" applyAlignment="1">
      <alignment horizontal="center" wrapText="1"/>
    </xf>
    <xf numFmtId="49" fontId="10" fillId="2" borderId="7" xfId="0" applyNumberFormat="1" applyFont="1" applyFill="1" applyBorder="1" applyAlignment="1">
      <alignment horizontal="center" wrapText="1"/>
    </xf>
    <xf numFmtId="0" fontId="10" fillId="0" borderId="7" xfId="0" applyFont="1" applyFill="1" applyBorder="1" applyAlignment="1">
      <alignment horizontal="center" wrapText="1"/>
    </xf>
    <xf numFmtId="0" fontId="10" fillId="0" borderId="14" xfId="0" applyFont="1" applyFill="1" applyBorder="1" applyAlignment="1">
      <alignment horizontal="justify" vertical="top" wrapText="1"/>
    </xf>
    <xf numFmtId="0" fontId="10" fillId="3" borderId="7" xfId="0" applyNumberFormat="1" applyFont="1" applyFill="1" applyBorder="1" applyAlignment="1">
      <alignment horizontal="center" vertical="top" wrapText="1"/>
    </xf>
    <xf numFmtId="0" fontId="10" fillId="2" borderId="7" xfId="0" applyNumberFormat="1" applyFont="1" applyFill="1" applyBorder="1" applyAlignment="1">
      <alignment horizontal="center" vertical="top" wrapText="1"/>
    </xf>
    <xf numFmtId="16" fontId="10" fillId="0" borderId="7" xfId="0" applyNumberFormat="1" applyFont="1" applyFill="1" applyBorder="1" applyAlignment="1">
      <alignment horizontal="center" vertical="top" wrapText="1"/>
    </xf>
    <xf numFmtId="3" fontId="10" fillId="4" borderId="5" xfId="0" applyNumberFormat="1" applyFont="1" applyFill="1" applyBorder="1" applyAlignment="1" applyProtection="1">
      <alignment horizontal="center"/>
      <protection locked="0"/>
    </xf>
    <xf numFmtId="3" fontId="10" fillId="4" borderId="12" xfId="0" applyNumberFormat="1" applyFont="1" applyFill="1" applyBorder="1" applyAlignment="1" applyProtection="1">
      <alignment horizontal="center"/>
      <protection locked="0"/>
    </xf>
    <xf numFmtId="0" fontId="7"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0" fontId="11" fillId="0" borderId="9" xfId="0" applyFont="1" applyFill="1" applyBorder="1" applyAlignment="1" applyProtection="1">
      <alignment vertical="top"/>
      <protection locked="0"/>
    </xf>
    <xf numFmtId="0" fontId="10" fillId="3" borderId="9" xfId="0" applyNumberFormat="1" applyFont="1" applyFill="1" applyBorder="1" applyAlignment="1">
      <alignment horizontal="center"/>
    </xf>
    <xf numFmtId="3" fontId="10" fillId="3" borderId="9" xfId="0" applyNumberFormat="1" applyFont="1" applyFill="1" applyBorder="1" applyAlignment="1">
      <alignment horizontal="center"/>
    </xf>
    <xf numFmtId="0" fontId="26" fillId="0" borderId="9" xfId="0" applyFont="1" applyFill="1" applyBorder="1" applyAlignment="1" applyProtection="1">
      <alignment vertical="top"/>
      <protection locked="0"/>
    </xf>
    <xf numFmtId="0" fontId="10" fillId="3" borderId="9" xfId="0" applyFont="1" applyFill="1" applyBorder="1" applyAlignment="1" applyProtection="1">
      <alignment horizontal="center" vertical="top" wrapText="1"/>
      <protection locked="0"/>
    </xf>
    <xf numFmtId="0" fontId="11" fillId="0" borderId="9" xfId="0" applyFont="1" applyBorder="1" applyAlignment="1">
      <alignment horizontal="left" vertical="top" wrapText="1"/>
    </xf>
    <xf numFmtId="0" fontId="11" fillId="0" borderId="9" xfId="0" applyFont="1" applyFill="1" applyBorder="1" applyAlignment="1" applyProtection="1">
      <alignment horizontal="left" vertical="top" wrapText="1"/>
      <protection locked="0"/>
    </xf>
    <xf numFmtId="0" fontId="9" fillId="3" borderId="0" xfId="0" applyFont="1" applyFill="1" applyBorder="1" applyAlignment="1">
      <alignment horizontal="left" vertical="top" wrapText="1"/>
    </xf>
    <xf numFmtId="0" fontId="9" fillId="3" borderId="11" xfId="0" applyFont="1" applyFill="1" applyBorder="1" applyAlignment="1">
      <alignment horizontal="left" vertical="top" wrapText="1"/>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0" fillId="3" borderId="0" xfId="0" applyFont="1" applyFill="1" applyBorder="1" applyAlignment="1">
      <alignment horizontal="left" vertical="top" wrapText="1"/>
    </xf>
    <xf numFmtId="0" fontId="10" fillId="3" borderId="9" xfId="0" applyFont="1" applyFill="1" applyBorder="1" applyAlignment="1" applyProtection="1">
      <alignment horizontal="center" vertical="top" wrapText="1"/>
      <protection locked="0"/>
    </xf>
    <xf numFmtId="0" fontId="7" fillId="0" borderId="8" xfId="0" applyFont="1" applyFill="1" applyBorder="1" applyAlignment="1" applyProtection="1">
      <protection locked="0"/>
    </xf>
    <xf numFmtId="0" fontId="9" fillId="0" borderId="8" xfId="0" applyFont="1" applyBorder="1" applyAlignment="1"/>
    <xf numFmtId="0" fontId="11" fillId="0" borderId="6" xfId="0" applyFont="1" applyFill="1" applyBorder="1" applyAlignment="1">
      <alignment horizontal="left" vertical="top" wrapText="1"/>
    </xf>
    <xf numFmtId="0" fontId="9" fillId="3" borderId="0" xfId="0" applyFont="1" applyFill="1" applyBorder="1" applyAlignment="1">
      <alignment horizontal="left" vertical="top" wrapText="1"/>
    </xf>
    <xf numFmtId="0" fontId="10" fillId="3" borderId="9" xfId="0" applyFont="1" applyFill="1" applyBorder="1" applyAlignment="1" applyProtection="1">
      <alignment horizontal="center" vertical="top" wrapText="1"/>
      <protection locked="0"/>
    </xf>
    <xf numFmtId="0" fontId="11" fillId="0" borderId="9" xfId="0" applyFont="1" applyFill="1" applyBorder="1" applyAlignment="1" applyProtection="1">
      <alignment horizontal="left" vertical="top" wrapText="1"/>
      <protection locked="0"/>
    </xf>
    <xf numFmtId="0" fontId="11" fillId="0" borderId="4" xfId="0" applyFont="1" applyBorder="1" applyAlignment="1">
      <alignment horizontal="left" vertical="top" wrapText="1"/>
    </xf>
    <xf numFmtId="0" fontId="10" fillId="3" borderId="9" xfId="0" applyFont="1" applyFill="1" applyBorder="1" applyAlignment="1" applyProtection="1">
      <alignment horizontal="center" vertical="top" wrapText="1"/>
      <protection locked="0"/>
    </xf>
    <xf numFmtId="0" fontId="10" fillId="3" borderId="9" xfId="0" applyFont="1" applyFill="1" applyBorder="1" applyAlignment="1" applyProtection="1">
      <alignment horizontal="center" vertical="top" wrapText="1"/>
      <protection locked="0"/>
    </xf>
    <xf numFmtId="0" fontId="10" fillId="3" borderId="0"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9" xfId="0" applyFont="1" applyFill="1" applyBorder="1" applyAlignment="1" applyProtection="1">
      <alignment horizontal="center" vertical="top" wrapText="1"/>
      <protection locked="0"/>
    </xf>
    <xf numFmtId="0" fontId="0" fillId="0" borderId="14" xfId="0" applyBorder="1" applyAlignment="1">
      <alignment wrapText="1"/>
    </xf>
    <xf numFmtId="0" fontId="0" fillId="0" borderId="10" xfId="0" applyBorder="1" applyAlignment="1">
      <alignment wrapText="1"/>
    </xf>
    <xf numFmtId="0" fontId="10" fillId="3" borderId="9" xfId="0" applyFont="1" applyFill="1" applyBorder="1" applyAlignment="1" applyProtection="1">
      <alignment horizontal="center" vertical="top" wrapText="1"/>
      <protection locked="0"/>
    </xf>
    <xf numFmtId="0" fontId="10" fillId="3" borderId="9" xfId="0" applyFont="1" applyFill="1" applyBorder="1" applyAlignment="1" applyProtection="1">
      <alignment horizontal="center" vertical="top" wrapText="1"/>
      <protection locked="0"/>
    </xf>
    <xf numFmtId="0" fontId="10" fillId="3" borderId="8" xfId="0" applyFont="1" applyFill="1" applyBorder="1" applyAlignment="1" applyProtection="1">
      <alignment horizontal="left" vertical="top" wrapText="1"/>
      <protection locked="0"/>
    </xf>
    <xf numFmtId="0" fontId="0" fillId="0" borderId="14" xfId="0" applyBorder="1" applyAlignment="1">
      <alignment wrapText="1"/>
    </xf>
    <xf numFmtId="0" fontId="10" fillId="3" borderId="0"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7" fillId="0" borderId="0" xfId="0" applyFont="1" applyFill="1" applyBorder="1" applyAlignment="1" applyProtection="1">
      <protection locked="0"/>
    </xf>
    <xf numFmtId="0" fontId="10" fillId="3" borderId="9" xfId="0" applyFont="1" applyFill="1" applyBorder="1" applyAlignment="1" applyProtection="1">
      <alignment horizontal="center" vertical="top" wrapText="1"/>
      <protection locked="0"/>
    </xf>
    <xf numFmtId="0" fontId="11" fillId="0" borderId="9"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22" fillId="0" borderId="7" xfId="0" applyFont="1" applyFill="1" applyBorder="1" applyAlignment="1" applyProtection="1">
      <alignment vertical="top"/>
      <protection locked="0"/>
    </xf>
    <xf numFmtId="0" fontId="0" fillId="0" borderId="0" xfId="0" applyBorder="1" applyAlignment="1">
      <alignment vertical="center"/>
    </xf>
    <xf numFmtId="0" fontId="11" fillId="0"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top" wrapText="1"/>
      <protection locked="0"/>
    </xf>
    <xf numFmtId="0" fontId="22" fillId="0" borderId="9" xfId="0" applyFont="1" applyFill="1" applyBorder="1" applyAlignment="1">
      <alignment horizontal="justify" vertical="top" wrapText="1"/>
    </xf>
    <xf numFmtId="49" fontId="22" fillId="3" borderId="9" xfId="0" applyNumberFormat="1" applyFont="1" applyFill="1" applyBorder="1" applyAlignment="1" applyProtection="1">
      <alignment horizontal="center" vertical="top"/>
      <protection locked="0"/>
    </xf>
    <xf numFmtId="0" fontId="9" fillId="0" borderId="0" xfId="0" applyFont="1" applyFill="1"/>
    <xf numFmtId="0" fontId="9" fillId="0" borderId="0" xfId="0" applyFont="1" applyFill="1" applyBorder="1"/>
    <xf numFmtId="3" fontId="10" fillId="3" borderId="3" xfId="0" applyNumberFormat="1" applyFont="1" applyFill="1" applyBorder="1" applyAlignment="1" applyProtection="1">
      <alignment horizontal="center"/>
      <protection locked="0"/>
    </xf>
    <xf numFmtId="0" fontId="11" fillId="0" borderId="3"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8" fillId="0" borderId="0" xfId="0" applyFont="1" applyFill="1" applyBorder="1" applyAlignment="1" applyProtection="1">
      <alignment horizontal="center"/>
      <protection locked="0"/>
    </xf>
    <xf numFmtId="0" fontId="8" fillId="2" borderId="0" xfId="0" applyFont="1" applyFill="1" applyBorder="1" applyAlignment="1" applyProtection="1">
      <protection locked="0"/>
    </xf>
    <xf numFmtId="0" fontId="22" fillId="0" borderId="9" xfId="0" applyFont="1" applyFill="1" applyBorder="1" applyAlignment="1" applyProtection="1">
      <alignment vertical="top"/>
      <protection locked="0"/>
    </xf>
    <xf numFmtId="0" fontId="22" fillId="3" borderId="9" xfId="0" applyFont="1" applyFill="1" applyBorder="1" applyAlignment="1" applyProtection="1">
      <alignment horizontal="center" vertical="top"/>
      <protection locked="0"/>
    </xf>
    <xf numFmtId="49" fontId="22" fillId="3" borderId="9" xfId="0" applyNumberFormat="1" applyFont="1" applyFill="1" applyBorder="1" applyAlignment="1">
      <alignment horizontal="center" vertical="top" wrapText="1"/>
    </xf>
    <xf numFmtId="0" fontId="0" fillId="0" borderId="0" xfId="0" applyBorder="1" applyAlignment="1">
      <alignment wrapText="1"/>
    </xf>
    <xf numFmtId="0" fontId="11" fillId="0" borderId="7" xfId="0" applyFont="1" applyBorder="1" applyAlignment="1">
      <alignment horizontal="left" vertical="top" wrapText="1"/>
    </xf>
    <xf numFmtId="0" fontId="14" fillId="0" borderId="0"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top" wrapText="1"/>
      <protection locked="0"/>
    </xf>
    <xf numFmtId="0" fontId="33" fillId="0" borderId="7" xfId="0" applyFont="1" applyBorder="1" applyAlignment="1">
      <alignment horizontal="left" vertical="top" wrapText="1"/>
    </xf>
    <xf numFmtId="0" fontId="10" fillId="3" borderId="9"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0" fillId="3" borderId="0" xfId="0" applyFont="1" applyFill="1" applyBorder="1" applyAlignment="1">
      <alignment horizontal="left" vertical="top"/>
    </xf>
    <xf numFmtId="0" fontId="11" fillId="0" borderId="4" xfId="0" applyFont="1" applyFill="1" applyBorder="1" applyAlignment="1">
      <alignment horizontal="left" vertical="top" wrapText="1"/>
    </xf>
    <xf numFmtId="0" fontId="31" fillId="3" borderId="8" xfId="0" applyFont="1" applyFill="1" applyBorder="1" applyAlignment="1" applyProtection="1">
      <alignment horizontal="left" vertical="top" wrapText="1"/>
      <protection locked="0"/>
    </xf>
    <xf numFmtId="0" fontId="31" fillId="3" borderId="8" xfId="0" applyFont="1" applyFill="1" applyBorder="1" applyAlignment="1" applyProtection="1">
      <alignment vertical="top" wrapText="1"/>
      <protection locked="0"/>
    </xf>
    <xf numFmtId="0" fontId="31" fillId="3" borderId="2" xfId="0" applyFont="1" applyFill="1" applyBorder="1" applyAlignment="1" applyProtection="1">
      <alignment vertical="top" wrapText="1"/>
      <protection locked="0"/>
    </xf>
    <xf numFmtId="0" fontId="10" fillId="3" borderId="9" xfId="0" applyFont="1" applyFill="1" applyBorder="1" applyAlignment="1" applyProtection="1">
      <alignment horizontal="center" vertical="top" wrapText="1"/>
      <protection locked="0"/>
    </xf>
    <xf numFmtId="0" fontId="10" fillId="3" borderId="9" xfId="0" applyFont="1" applyFill="1" applyBorder="1" applyAlignment="1" applyProtection="1">
      <alignment horizontal="center" vertical="top" wrapText="1"/>
      <protection locked="0"/>
    </xf>
    <xf numFmtId="0" fontId="10" fillId="3" borderId="0" xfId="0" applyFont="1" applyFill="1" applyBorder="1" applyAlignment="1" applyProtection="1">
      <alignment horizontal="left" vertical="top" wrapText="1"/>
      <protection locked="0"/>
    </xf>
    <xf numFmtId="20" fontId="27" fillId="3" borderId="13" xfId="0" applyNumberFormat="1"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10" fillId="3" borderId="4"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0" fillId="0" borderId="4"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49" fontId="11" fillId="3" borderId="13" xfId="0" quotePrefix="1" applyNumberFormat="1" applyFont="1" applyFill="1" applyBorder="1" applyAlignment="1" applyProtection="1">
      <alignment vertical="center" wrapText="1"/>
      <protection locked="0"/>
    </xf>
    <xf numFmtId="0" fontId="9" fillId="0" borderId="8" xfId="0" applyFont="1" applyBorder="1" applyAlignment="1">
      <alignment vertical="center" wrapText="1"/>
    </xf>
    <xf numFmtId="0" fontId="0" fillId="0" borderId="8" xfId="0" applyBorder="1" applyAlignment="1">
      <alignment vertical="center" wrapText="1"/>
    </xf>
    <xf numFmtId="0" fontId="0" fillId="0" borderId="8" xfId="0" applyBorder="1" applyAlignment="1">
      <alignment wrapText="1"/>
    </xf>
    <xf numFmtId="0" fontId="0" fillId="0" borderId="2"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2" xfId="0" applyBorder="1" applyAlignment="1">
      <alignment wrapText="1"/>
    </xf>
    <xf numFmtId="0" fontId="26" fillId="3" borderId="15" xfId="0" applyFont="1" applyFill="1" applyBorder="1" applyAlignment="1" applyProtection="1">
      <alignment horizontal="left" vertical="top" wrapText="1"/>
      <protection locked="0"/>
    </xf>
    <xf numFmtId="0" fontId="32" fillId="0" borderId="5" xfId="0" applyFont="1" applyBorder="1" applyAlignment="1">
      <alignment horizontal="left" vertical="top" wrapText="1"/>
    </xf>
    <xf numFmtId="20" fontId="27" fillId="3" borderId="15" xfId="0" applyNumberFormat="1" applyFont="1" applyFill="1" applyBorder="1" applyAlignment="1" applyProtection="1">
      <alignment horizontal="left" vertical="top" wrapText="1"/>
      <protection locked="0"/>
    </xf>
    <xf numFmtId="0" fontId="23" fillId="0" borderId="5" xfId="0" applyFont="1" applyBorder="1" applyAlignment="1">
      <alignment horizontal="left" vertical="top" wrapText="1"/>
    </xf>
    <xf numFmtId="0" fontId="11" fillId="3" borderId="14"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22" fillId="3" borderId="13" xfId="0" applyFont="1" applyFill="1" applyBorder="1" applyAlignment="1" applyProtection="1">
      <alignment horizontal="left" vertical="top" wrapText="1"/>
      <protection locked="0"/>
    </xf>
    <xf numFmtId="0" fontId="22" fillId="3" borderId="8" xfId="0" applyFont="1" applyFill="1" applyBorder="1" applyAlignment="1" applyProtection="1">
      <alignment horizontal="left" vertical="top" wrapText="1"/>
      <protection locked="0"/>
    </xf>
    <xf numFmtId="0" fontId="22" fillId="3" borderId="2"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0" fillId="3" borderId="13"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11" fillId="2" borderId="13"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11" fillId="3" borderId="9" xfId="0" applyFont="1" applyFill="1" applyBorder="1" applyAlignment="1">
      <alignment horizontal="left" vertical="top" wrapText="1"/>
    </xf>
    <xf numFmtId="0" fontId="20" fillId="3" borderId="9" xfId="0" applyFont="1" applyFill="1" applyBorder="1" applyAlignment="1">
      <alignment horizontal="left" vertical="top" wrapText="1"/>
    </xf>
    <xf numFmtId="0" fontId="11" fillId="3" borderId="9" xfId="0" applyFont="1" applyFill="1" applyBorder="1" applyAlignment="1" applyProtection="1">
      <alignment horizontal="left" vertical="top" wrapText="1"/>
      <protection locked="0"/>
    </xf>
    <xf numFmtId="0" fontId="0" fillId="0" borderId="9" xfId="0" applyBorder="1" applyAlignment="1">
      <alignment horizontal="left" vertical="top" wrapText="1"/>
    </xf>
    <xf numFmtId="0" fontId="27" fillId="3" borderId="9" xfId="0" applyFont="1" applyFill="1" applyBorder="1" applyAlignment="1" applyProtection="1">
      <alignment horizontal="left" vertical="top" wrapText="1"/>
      <protection locked="0"/>
    </xf>
    <xf numFmtId="0" fontId="23" fillId="0" borderId="9" xfId="0" applyFont="1" applyBorder="1" applyAlignment="1">
      <alignment horizontal="left" vertical="top" wrapText="1"/>
    </xf>
    <xf numFmtId="0" fontId="11" fillId="0" borderId="3"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10" xfId="0" applyFont="1" applyBorder="1" applyAlignment="1">
      <alignment horizontal="left" vertical="top" wrapText="1"/>
    </xf>
    <xf numFmtId="0" fontId="9" fillId="0" borderId="4"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49" fontId="11" fillId="3" borderId="14" xfId="0" applyNumberFormat="1" applyFont="1" applyFill="1" applyBorder="1" applyAlignment="1" applyProtection="1">
      <alignment horizontal="left" vertical="top" wrapText="1"/>
      <protection locked="0"/>
    </xf>
    <xf numFmtId="49" fontId="11" fillId="3" borderId="10" xfId="0" applyNumberFormat="1"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9" fillId="0" borderId="0" xfId="0" applyFont="1" applyAlignment="1">
      <alignment horizontal="left" vertical="top" wrapText="1"/>
    </xf>
    <xf numFmtId="0" fontId="10" fillId="3" borderId="14"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9" fillId="0" borderId="6" xfId="0" applyFont="1" applyBorder="1" applyAlignment="1">
      <alignment horizontal="left" vertical="top" wrapText="1"/>
    </xf>
    <xf numFmtId="0" fontId="11" fillId="3" borderId="4"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protection locked="0"/>
    </xf>
    <xf numFmtId="0" fontId="11" fillId="3" borderId="2" xfId="0" applyFont="1" applyFill="1" applyBorder="1" applyAlignment="1" applyProtection="1">
      <alignment horizontal="left" vertical="top"/>
      <protection locked="0"/>
    </xf>
    <xf numFmtId="0" fontId="12" fillId="3" borderId="3" xfId="0" applyFont="1" applyFill="1" applyBorder="1" applyAlignment="1" applyProtection="1">
      <alignment vertical="center"/>
      <protection locked="0"/>
    </xf>
    <xf numFmtId="0" fontId="12" fillId="3" borderId="7" xfId="0" applyFont="1" applyFill="1" applyBorder="1" applyAlignment="1" applyProtection="1">
      <alignment vertical="center"/>
      <protection locked="0"/>
    </xf>
    <xf numFmtId="0" fontId="13" fillId="3" borderId="14" xfId="0" applyFont="1" applyFill="1" applyBorder="1" applyAlignment="1" applyProtection="1">
      <alignment wrapText="1"/>
      <protection locked="0"/>
    </xf>
    <xf numFmtId="0" fontId="13" fillId="3" borderId="10" xfId="0" applyFont="1" applyFill="1" applyBorder="1" applyAlignment="1" applyProtection="1">
      <alignment wrapText="1"/>
      <protection locked="0"/>
    </xf>
    <xf numFmtId="0" fontId="13" fillId="3" borderId="12" xfId="0" applyFont="1" applyFill="1" applyBorder="1" applyAlignment="1" applyProtection="1">
      <alignment wrapText="1"/>
      <protection locked="0"/>
    </xf>
    <xf numFmtId="0" fontId="12" fillId="3" borderId="3"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0" fontId="13" fillId="3" borderId="3" xfId="0" applyFont="1" applyFill="1" applyBorder="1" applyAlignment="1" applyProtection="1">
      <alignment vertical="center" wrapText="1"/>
      <protection locked="0"/>
    </xf>
    <xf numFmtId="0" fontId="14" fillId="0" borderId="1" xfId="0" applyFont="1" applyFill="1" applyBorder="1" applyAlignment="1" applyProtection="1">
      <alignment horizontal="left" vertical="center" wrapText="1"/>
      <protection locked="0"/>
    </xf>
    <xf numFmtId="0" fontId="13" fillId="3" borderId="15" xfId="0" applyFont="1" applyFill="1" applyBorder="1" applyAlignment="1" applyProtection="1">
      <alignment wrapText="1"/>
      <protection locked="0"/>
    </xf>
    <xf numFmtId="0" fontId="13" fillId="3" borderId="1" xfId="0" applyFont="1" applyFill="1" applyBorder="1" applyAlignment="1" applyProtection="1">
      <alignment wrapText="1"/>
      <protection locked="0"/>
    </xf>
    <xf numFmtId="0" fontId="13" fillId="3" borderId="5" xfId="0" applyFont="1" applyFill="1" applyBorder="1" applyAlignment="1" applyProtection="1">
      <alignment wrapText="1"/>
      <protection locked="0"/>
    </xf>
    <xf numFmtId="0" fontId="11" fillId="0" borderId="3"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13" fillId="3" borderId="13" xfId="0" applyFont="1" applyFill="1" applyBorder="1" applyAlignment="1" applyProtection="1">
      <alignment vertical="top" wrapText="1"/>
      <protection locked="0"/>
    </xf>
    <xf numFmtId="0" fontId="13" fillId="3" borderId="8" xfId="0" applyFont="1" applyFill="1" applyBorder="1" applyAlignment="1" applyProtection="1">
      <alignment vertical="top" wrapText="1"/>
      <protection locked="0"/>
    </xf>
    <xf numFmtId="0" fontId="13" fillId="3" borderId="2" xfId="0" applyFont="1" applyFill="1" applyBorder="1" applyAlignment="1" applyProtection="1">
      <alignment vertical="top" wrapText="1"/>
      <protection locked="0"/>
    </xf>
    <xf numFmtId="0" fontId="11" fillId="3" borderId="15" xfId="0" applyFont="1" applyFill="1" applyBorder="1" applyAlignment="1" applyProtection="1">
      <alignment horizontal="left" vertical="top" wrapText="1"/>
      <protection locked="0"/>
    </xf>
    <xf numFmtId="0" fontId="11" fillId="3" borderId="1" xfId="0" applyFont="1" applyFill="1" applyBorder="1" applyAlignment="1" applyProtection="1">
      <alignment horizontal="left" vertical="top" wrapText="1"/>
      <protection locked="0"/>
    </xf>
    <xf numFmtId="0" fontId="0" fillId="0" borderId="5" xfId="0" applyBorder="1" applyAlignment="1"/>
    <xf numFmtId="0" fontId="7" fillId="0" borderId="1" xfId="0" applyFont="1" applyFill="1" applyBorder="1" applyAlignment="1" applyProtection="1">
      <protection locked="0"/>
    </xf>
    <xf numFmtId="0" fontId="9" fillId="0" borderId="1" xfId="0" applyFont="1" applyBorder="1" applyAlignment="1"/>
    <xf numFmtId="0" fontId="9" fillId="3" borderId="8"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11" xfId="0" applyFont="1" applyFill="1" applyBorder="1" applyAlignment="1">
      <alignment horizontal="left" vertical="top" wrapText="1"/>
    </xf>
    <xf numFmtId="0" fontId="10" fillId="3" borderId="0" xfId="0" applyFont="1" applyFill="1" applyBorder="1" applyAlignment="1">
      <alignment horizontal="left" vertical="top" wrapText="1"/>
    </xf>
    <xf numFmtId="0" fontId="34" fillId="3" borderId="13" xfId="0" applyFont="1" applyFill="1" applyBorder="1" applyAlignment="1" applyProtection="1">
      <alignment wrapText="1"/>
      <protection locked="0"/>
    </xf>
    <xf numFmtId="0" fontId="34" fillId="3" borderId="8" xfId="0" applyFont="1" applyFill="1" applyBorder="1" applyAlignment="1" applyProtection="1">
      <alignment wrapText="1"/>
      <protection locked="0"/>
    </xf>
    <xf numFmtId="0" fontId="34" fillId="3" borderId="2" xfId="0" applyFont="1" applyFill="1" applyBorder="1" applyAlignment="1" applyProtection="1">
      <alignment wrapText="1"/>
      <protection locked="0"/>
    </xf>
    <xf numFmtId="0" fontId="13" fillId="3" borderId="15" xfId="0" applyFont="1" applyFill="1" applyBorder="1" applyAlignment="1" applyProtection="1">
      <alignment vertical="top" wrapText="1"/>
      <protection locked="0"/>
    </xf>
    <xf numFmtId="0" fontId="13" fillId="3" borderId="1" xfId="0" applyFont="1" applyFill="1" applyBorder="1" applyAlignment="1" applyProtection="1">
      <alignment vertical="top" wrapText="1"/>
      <protection locked="0"/>
    </xf>
    <xf numFmtId="0" fontId="13" fillId="3" borderId="5" xfId="0" applyFont="1" applyFill="1" applyBorder="1" applyAlignment="1" applyProtection="1">
      <alignment vertical="top" wrapText="1"/>
      <protection locked="0"/>
    </xf>
    <xf numFmtId="49" fontId="12" fillId="3" borderId="3" xfId="0" applyNumberFormat="1" applyFont="1" applyFill="1" applyBorder="1" applyAlignment="1" applyProtection="1">
      <alignment horizontal="center" vertical="center"/>
      <protection locked="0"/>
    </xf>
    <xf numFmtId="49" fontId="12" fillId="3" borderId="7" xfId="0" applyNumberFormat="1" applyFont="1" applyFill="1" applyBorder="1" applyAlignment="1" applyProtection="1">
      <alignment horizontal="center" vertical="center"/>
      <protection locked="0"/>
    </xf>
    <xf numFmtId="0" fontId="10" fillId="3" borderId="9"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0" fillId="3" borderId="8" xfId="0" applyFont="1" applyFill="1" applyBorder="1" applyAlignment="1" applyProtection="1">
      <alignment vertical="top" wrapText="1"/>
      <protection locked="0"/>
    </xf>
    <xf numFmtId="0" fontId="11" fillId="0" borderId="7"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1" xfId="0" applyFont="1" applyBorder="1" applyAlignment="1">
      <alignment wrapText="1"/>
    </xf>
    <xf numFmtId="0" fontId="9" fillId="0" borderId="5" xfId="0" applyFont="1" applyBorder="1" applyAlignment="1">
      <alignment wrapText="1"/>
    </xf>
    <xf numFmtId="0" fontId="13" fillId="3" borderId="8" xfId="0" applyFont="1" applyFill="1" applyBorder="1" applyAlignment="1" applyProtection="1">
      <alignment horizontal="left" vertical="top" wrapText="1"/>
      <protection locked="0"/>
    </xf>
    <xf numFmtId="0" fontId="13" fillId="3" borderId="2"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11" xfId="0" applyFont="1" applyFill="1" applyBorder="1" applyAlignment="1" applyProtection="1">
      <alignment horizontal="left" vertical="top" wrapText="1"/>
      <protection locked="0"/>
    </xf>
    <xf numFmtId="0" fontId="13" fillId="3" borderId="10" xfId="0" applyFont="1" applyFill="1" applyBorder="1" applyAlignment="1" applyProtection="1">
      <alignment horizontal="left" vertical="top" wrapText="1"/>
      <protection locked="0"/>
    </xf>
    <xf numFmtId="0" fontId="13" fillId="3" borderId="12" xfId="0" applyFont="1" applyFill="1" applyBorder="1" applyAlignment="1" applyProtection="1">
      <alignment horizontal="left" vertical="top" wrapText="1"/>
      <protection locked="0"/>
    </xf>
    <xf numFmtId="0" fontId="10" fillId="3" borderId="0" xfId="0" applyFont="1" applyFill="1" applyBorder="1" applyAlignment="1">
      <alignment horizontal="left" vertical="top"/>
    </xf>
    <xf numFmtId="0" fontId="10" fillId="3" borderId="11" xfId="0" applyFont="1" applyFill="1"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11" fillId="3" borderId="3"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0" borderId="8" xfId="0" applyFont="1" applyFill="1" applyBorder="1" applyAlignment="1">
      <alignment vertical="top" wrapText="1"/>
    </xf>
    <xf numFmtId="0" fontId="0" fillId="0" borderId="8" xfId="0" applyBorder="1" applyAlignment="1">
      <alignment vertical="top" wrapText="1"/>
    </xf>
    <xf numFmtId="0" fontId="11" fillId="0" borderId="0" xfId="0" applyFont="1" applyFill="1" applyBorder="1" applyAlignment="1">
      <alignment vertical="top" wrapText="1"/>
    </xf>
    <xf numFmtId="0" fontId="0" fillId="0" borderId="0" xfId="0" applyBorder="1" applyAlignment="1">
      <alignment vertical="top" wrapText="1"/>
    </xf>
    <xf numFmtId="0" fontId="14" fillId="0" borderId="10" xfId="0" applyFont="1" applyFill="1" applyBorder="1" applyAlignment="1" applyProtection="1">
      <alignment horizontal="left" wrapText="1"/>
      <protection locked="0"/>
    </xf>
    <xf numFmtId="0" fontId="14" fillId="0" borderId="8" xfId="0" applyFont="1" applyFill="1" applyBorder="1" applyAlignment="1" applyProtection="1">
      <alignment horizontal="left" vertical="center" wrapText="1"/>
      <protection locked="0"/>
    </xf>
    <xf numFmtId="0" fontId="9" fillId="0" borderId="8" xfId="0" applyFont="1" applyBorder="1" applyAlignment="1">
      <alignment horizontal="left" vertical="center" wrapText="1"/>
    </xf>
    <xf numFmtId="0" fontId="9" fillId="0" borderId="8" xfId="0" applyFont="1" applyBorder="1" applyAlignment="1">
      <alignment wrapText="1"/>
    </xf>
    <xf numFmtId="0" fontId="11" fillId="3" borderId="3" xfId="0" applyFont="1" applyFill="1" applyBorder="1" applyAlignment="1" applyProtection="1">
      <alignment horizontal="center" wrapText="1"/>
      <protection locked="0"/>
    </xf>
    <xf numFmtId="0" fontId="11" fillId="3" borderId="7" xfId="0" applyFont="1" applyFill="1" applyBorder="1" applyAlignment="1" applyProtection="1">
      <alignment horizontal="center" wrapText="1"/>
      <protection locked="0"/>
    </xf>
    <xf numFmtId="0" fontId="11" fillId="3" borderId="3" xfId="0" applyFont="1" applyFill="1" applyBorder="1" applyAlignment="1" applyProtection="1">
      <alignment vertical="top"/>
      <protection locked="0"/>
    </xf>
    <xf numFmtId="0" fontId="11" fillId="3" borderId="7" xfId="0" applyFont="1" applyFill="1" applyBorder="1" applyAlignment="1" applyProtection="1">
      <alignment vertical="top"/>
      <protection locked="0"/>
    </xf>
    <xf numFmtId="0" fontId="10" fillId="3" borderId="5"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center" wrapText="1"/>
      <protection locked="0"/>
    </xf>
    <xf numFmtId="0" fontId="11" fillId="3" borderId="15"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5" xfId="0" applyFont="1" applyFill="1" applyBorder="1" applyAlignment="1">
      <alignment horizontal="left" vertical="top" wrapText="1"/>
    </xf>
    <xf numFmtId="0" fontId="0" fillId="0" borderId="0" xfId="0" applyBorder="1" applyAlignment="1">
      <alignment horizontal="left" vertical="top" wrapText="1"/>
    </xf>
    <xf numFmtId="0" fontId="14" fillId="5" borderId="1"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1" fillId="3" borderId="3" xfId="0" applyFont="1" applyFill="1" applyBorder="1" applyAlignment="1" applyProtection="1">
      <alignment vertical="center"/>
      <protection locked="0"/>
    </xf>
    <xf numFmtId="0" fontId="11" fillId="3" borderId="7" xfId="0" applyFont="1" applyFill="1" applyBorder="1" applyAlignment="1" applyProtection="1">
      <alignment vertical="center"/>
      <protection locked="0"/>
    </xf>
    <xf numFmtId="0" fontId="11" fillId="3" borderId="9"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wrapText="1"/>
      <protection locked="0"/>
    </xf>
    <xf numFmtId="0" fontId="10" fillId="3" borderId="7" xfId="0"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7"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protection locked="0"/>
    </xf>
    <xf numFmtId="49" fontId="11" fillId="3" borderId="7" xfId="0" applyNumberFormat="1"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0" fontId="11" fillId="4" borderId="8" xfId="0" applyFont="1" applyFill="1" applyBorder="1" applyAlignment="1">
      <alignment vertical="top" wrapText="1"/>
    </xf>
    <xf numFmtId="0" fontId="9" fillId="0" borderId="7" xfId="0" applyFont="1" applyBorder="1" applyAlignment="1"/>
    <xf numFmtId="0" fontId="26" fillId="3" borderId="4" xfId="0" applyFont="1" applyFill="1" applyBorder="1" applyAlignment="1" applyProtection="1">
      <alignment horizontal="left" vertical="top" wrapText="1"/>
      <protection locked="0"/>
    </xf>
    <xf numFmtId="0" fontId="26" fillId="3" borderId="0" xfId="0" applyFont="1" applyFill="1" applyBorder="1" applyAlignment="1" applyProtection="1">
      <alignment horizontal="left" vertical="top" wrapText="1"/>
      <protection locked="0"/>
    </xf>
    <xf numFmtId="0" fontId="33" fillId="0" borderId="11" xfId="0"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Border="1" applyAlignment="1">
      <alignment horizontal="left" vertical="top" wrapText="1"/>
    </xf>
    <xf numFmtId="0" fontId="33" fillId="0" borderId="14" xfId="0" applyFont="1" applyBorder="1" applyAlignment="1">
      <alignment horizontal="left" vertical="top" wrapText="1"/>
    </xf>
    <xf numFmtId="0" fontId="33" fillId="0" borderId="10" xfId="0" applyFont="1" applyBorder="1" applyAlignment="1">
      <alignment horizontal="left" vertical="top" wrapText="1"/>
    </xf>
    <xf numFmtId="0" fontId="33" fillId="0" borderId="12" xfId="0" applyFont="1" applyBorder="1" applyAlignment="1">
      <alignment horizontal="left" vertical="top" wrapText="1"/>
    </xf>
    <xf numFmtId="0" fontId="11" fillId="3" borderId="5"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10" fillId="3" borderId="13"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9" fillId="0" borderId="2" xfId="0" applyFont="1" applyBorder="1" applyAlignment="1">
      <alignment horizontal="left" vertical="center" wrapText="1"/>
    </xf>
    <xf numFmtId="0" fontId="10" fillId="3" borderId="4"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11" fillId="3" borderId="4"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7" fillId="0" borderId="0" xfId="0" applyFont="1" applyFill="1" applyBorder="1" applyAlignment="1" applyProtection="1">
      <protection locked="0"/>
    </xf>
    <xf numFmtId="0" fontId="11" fillId="0" borderId="10" xfId="0" applyFont="1" applyFill="1" applyBorder="1" applyAlignment="1" applyProtection="1">
      <alignment horizontal="left" vertical="top"/>
      <protection locked="0"/>
    </xf>
    <xf numFmtId="0" fontId="11" fillId="3" borderId="6" xfId="0" applyFont="1" applyFill="1" applyBorder="1" applyAlignment="1" applyProtection="1">
      <alignment vertical="top"/>
      <protection locked="0"/>
    </xf>
    <xf numFmtId="0" fontId="11" fillId="3" borderId="9" xfId="0" applyFont="1" applyFill="1" applyBorder="1" applyAlignment="1" applyProtection="1">
      <alignment horizontal="center" vertical="top" wrapText="1"/>
      <protection locked="0"/>
    </xf>
    <xf numFmtId="0" fontId="10" fillId="3" borderId="9" xfId="0" applyFont="1" applyFill="1" applyBorder="1" applyAlignment="1" applyProtection="1">
      <alignment horizontal="center" vertical="top" wrapText="1"/>
      <protection locked="0"/>
    </xf>
    <xf numFmtId="0" fontId="9" fillId="0" borderId="7" xfId="0" applyFont="1" applyBorder="1" applyAlignment="1">
      <alignment horizontal="center" vertical="center" wrapText="1"/>
    </xf>
    <xf numFmtId="0" fontId="14" fillId="0" borderId="1" xfId="0" applyFont="1" applyFill="1" applyBorder="1" applyAlignment="1" applyProtection="1">
      <alignment horizontal="left" wrapText="1"/>
      <protection locked="0"/>
    </xf>
    <xf numFmtId="0" fontId="14" fillId="0" borderId="5" xfId="0" applyFont="1" applyFill="1" applyBorder="1" applyAlignment="1" applyProtection="1">
      <alignment horizontal="left" wrapText="1"/>
      <protection locked="0"/>
    </xf>
    <xf numFmtId="0" fontId="26" fillId="0" borderId="3" xfId="0" applyFont="1" applyBorder="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11" fillId="0" borderId="3" xfId="0" applyFont="1" applyFill="1" applyBorder="1" applyAlignment="1">
      <alignment horizontal="left" vertical="top" wrapText="1"/>
    </xf>
    <xf numFmtId="0" fontId="9" fillId="0" borderId="7" xfId="0" applyFont="1" applyBorder="1" applyAlignment="1">
      <alignment horizontal="left" vertical="top" wrapText="1"/>
    </xf>
    <xf numFmtId="0" fontId="13" fillId="3" borderId="15" xfId="0"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0" fillId="3" borderId="14" xfId="0" applyFont="1" applyFill="1" applyBorder="1" applyAlignment="1" applyProtection="1">
      <alignment vertical="top" wrapText="1"/>
      <protection locked="0"/>
    </xf>
    <xf numFmtId="0" fontId="10" fillId="3" borderId="10" xfId="0" applyFont="1" applyFill="1" applyBorder="1" applyAlignment="1" applyProtection="1">
      <alignment vertical="top" wrapText="1"/>
      <protection locked="0"/>
    </xf>
    <xf numFmtId="0" fontId="10" fillId="3" borderId="12" xfId="0" applyFont="1" applyFill="1" applyBorder="1" applyAlignment="1" applyProtection="1">
      <alignment vertical="top" wrapText="1"/>
      <protection locked="0"/>
    </xf>
    <xf numFmtId="49" fontId="11" fillId="3" borderId="13"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49" fontId="11" fillId="3" borderId="14" xfId="0" applyNumberFormat="1" applyFont="1"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3" fontId="10" fillId="2" borderId="15" xfId="0" applyNumberFormat="1" applyFont="1" applyFill="1" applyBorder="1" applyAlignment="1" applyProtection="1">
      <alignment horizontal="center" wrapText="1"/>
      <protection locked="0"/>
    </xf>
    <xf numFmtId="0" fontId="9" fillId="0" borderId="5" xfId="0" applyFont="1" applyBorder="1" applyAlignment="1">
      <alignment horizontal="center" wrapText="1"/>
    </xf>
    <xf numFmtId="0" fontId="9" fillId="3" borderId="7" xfId="0" applyFont="1" applyFill="1" applyBorder="1" applyAlignment="1">
      <alignment horizontal="center" vertical="center" wrapText="1"/>
    </xf>
    <xf numFmtId="0" fontId="11" fillId="0" borderId="9" xfId="0" applyFont="1" applyBorder="1" applyAlignment="1">
      <alignment horizontal="left" vertical="top" wrapText="1"/>
    </xf>
    <xf numFmtId="0" fontId="10" fillId="0" borderId="7" xfId="0" applyFont="1" applyFill="1" applyBorder="1" applyAlignment="1" applyProtection="1">
      <alignment horizontal="left" vertical="top" wrapText="1"/>
      <protection locked="0"/>
    </xf>
    <xf numFmtId="49" fontId="11" fillId="3" borderId="9" xfId="0" applyNumberFormat="1" applyFont="1" applyFill="1" applyBorder="1" applyAlignment="1" applyProtection="1">
      <alignment horizontal="center" vertical="center" wrapText="1"/>
      <protection locked="0"/>
    </xf>
    <xf numFmtId="0" fontId="13" fillId="3" borderId="9" xfId="0" applyFont="1" applyFill="1" applyBorder="1" applyAlignment="1" applyProtection="1">
      <alignment vertical="top" wrapText="1"/>
      <protection locked="0"/>
    </xf>
    <xf numFmtId="0" fontId="13" fillId="3" borderId="9"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9" fillId="3" borderId="9" xfId="0" applyFont="1" applyFill="1" applyBorder="1" applyAlignment="1">
      <alignment horizontal="center" vertical="center" wrapText="1"/>
    </xf>
    <xf numFmtId="0" fontId="11" fillId="3" borderId="9" xfId="0" applyFont="1" applyFill="1" applyBorder="1" applyAlignment="1" applyProtection="1">
      <alignment vertical="center"/>
      <protection locked="0"/>
    </xf>
    <xf numFmtId="0" fontId="10" fillId="3" borderId="9" xfId="0" applyFont="1" applyFill="1" applyBorder="1" applyAlignment="1" applyProtection="1">
      <alignment horizontal="center" vertical="center" wrapText="1"/>
      <protection locked="0"/>
    </xf>
    <xf numFmtId="0" fontId="11" fillId="0" borderId="9" xfId="0" applyFont="1" applyFill="1" applyBorder="1" applyAlignment="1">
      <alignment horizontal="left" vertical="top" wrapText="1"/>
    </xf>
    <xf numFmtId="0" fontId="9" fillId="0" borderId="9" xfId="0" applyFont="1" applyBorder="1" applyAlignment="1">
      <alignment horizontal="left" vertical="top" wrapText="1"/>
    </xf>
    <xf numFmtId="0" fontId="14" fillId="0" borderId="5" xfId="0" applyFont="1" applyFill="1" applyBorder="1" applyAlignment="1" applyProtection="1">
      <alignment horizontal="left" vertical="center" wrapText="1"/>
      <protection locked="0"/>
    </xf>
    <xf numFmtId="2" fontId="11" fillId="3" borderId="15" xfId="0" applyNumberFormat="1" applyFont="1" applyFill="1" applyBorder="1" applyAlignment="1" applyProtection="1">
      <alignment horizontal="left" vertical="center" wrapText="1"/>
      <protection locked="0"/>
    </xf>
    <xf numFmtId="2" fontId="11" fillId="3" borderId="1" xfId="0" applyNumberFormat="1" applyFont="1" applyFill="1" applyBorder="1" applyAlignment="1" applyProtection="1">
      <alignment horizontal="left" vertical="center" wrapText="1"/>
      <protection locked="0"/>
    </xf>
    <xf numFmtId="2" fontId="11" fillId="3" borderId="5" xfId="0" applyNumberFormat="1"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top" wrapText="1"/>
      <protection locked="0"/>
    </xf>
    <xf numFmtId="0" fontId="9" fillId="0" borderId="0" xfId="0" applyFont="1" applyBorder="1" applyAlignment="1">
      <alignment vertical="top" wrapText="1"/>
    </xf>
    <xf numFmtId="0" fontId="14" fillId="0" borderId="0" xfId="0" applyFont="1" applyFill="1" applyBorder="1" applyAlignment="1" applyProtection="1">
      <alignment horizontal="left" wrapText="1"/>
      <protection locked="0"/>
    </xf>
    <xf numFmtId="0" fontId="13" fillId="3" borderId="9" xfId="0" applyFont="1" applyFill="1" applyBorder="1" applyAlignment="1" applyProtection="1">
      <alignment horizontal="left" vertical="center" wrapText="1"/>
      <protection locked="0"/>
    </xf>
    <xf numFmtId="0" fontId="0" fillId="0" borderId="9" xfId="0" applyBorder="1" applyAlignment="1">
      <alignment wrapText="1"/>
    </xf>
    <xf numFmtId="0" fontId="34" fillId="3" borderId="13" xfId="0" applyFont="1" applyFill="1" applyBorder="1" applyAlignment="1" applyProtection="1">
      <alignment vertical="top" wrapText="1"/>
      <protection locked="0"/>
    </xf>
    <xf numFmtId="0" fontId="33" fillId="0" borderId="8" xfId="0" applyFont="1" applyBorder="1" applyAlignment="1">
      <alignment vertical="top" wrapText="1"/>
    </xf>
    <xf numFmtId="0" fontId="12" fillId="3" borderId="8" xfId="0" applyFont="1" applyFill="1" applyBorder="1" applyAlignment="1" applyProtection="1">
      <alignment vertical="top" wrapText="1"/>
      <protection locked="0"/>
    </xf>
    <xf numFmtId="0" fontId="0" fillId="0" borderId="2" xfId="0" applyBorder="1" applyAlignment="1">
      <alignment vertical="top" wrapText="1"/>
    </xf>
    <xf numFmtId="0" fontId="13" fillId="3" borderId="14" xfId="0" applyFont="1" applyFill="1" applyBorder="1" applyAlignment="1" applyProtection="1">
      <alignment vertical="top" wrapText="1"/>
      <protection locked="0"/>
    </xf>
    <xf numFmtId="0" fontId="7" fillId="0" borderId="8" xfId="0" applyFont="1" applyFill="1" applyBorder="1" applyAlignment="1" applyProtection="1">
      <protection locked="0"/>
    </xf>
    <xf numFmtId="0" fontId="9" fillId="0" borderId="8" xfId="0" applyFont="1" applyBorder="1" applyAlignment="1"/>
    <xf numFmtId="0" fontId="13" fillId="3" borderId="8" xfId="0"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0" fontId="11" fillId="0" borderId="3" xfId="0" applyFont="1" applyFill="1" applyBorder="1" applyAlignment="1" applyProtection="1">
      <alignment vertical="center" wrapText="1"/>
      <protection locked="0"/>
    </xf>
    <xf numFmtId="0" fontId="0" fillId="0" borderId="6" xfId="0" applyBorder="1" applyAlignment="1">
      <alignment wrapText="1"/>
    </xf>
    <xf numFmtId="0" fontId="0" fillId="0" borderId="7" xfId="0" applyBorder="1" applyAlignment="1">
      <alignment wrapText="1"/>
    </xf>
    <xf numFmtId="0" fontId="10" fillId="3" borderId="15"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26" fillId="0" borderId="3" xfId="0" applyFont="1" applyFill="1" applyBorder="1" applyAlignment="1" applyProtection="1">
      <alignment horizontal="left" vertical="top" wrapText="1"/>
      <protection locked="0"/>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49" fontId="11" fillId="3" borderId="9" xfId="0" quotePrefix="1" applyNumberFormat="1" applyFont="1" applyFill="1" applyBorder="1" applyAlignment="1" applyProtection="1">
      <alignment horizontal="left" vertical="center" wrapText="1"/>
      <protection locked="0"/>
    </xf>
    <xf numFmtId="0" fontId="10" fillId="3" borderId="9" xfId="0" applyFont="1" applyFill="1" applyBorder="1" applyAlignment="1">
      <alignment horizontal="center" vertical="center" wrapText="1"/>
    </xf>
  </cellXfs>
  <cellStyles count="258">
    <cellStyle name="Comma 2" xfId="255" xr:uid="{00000000-0005-0000-0000-000000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Normal" xfId="0" builtinId="0"/>
    <cellStyle name="Normal 2" xfId="1" xr:uid="{00000000-0005-0000-0000-0000FE000000}"/>
    <cellStyle name="Normal 3" xfId="254" xr:uid="{00000000-0005-0000-0000-0000FF000000}"/>
    <cellStyle name="Normalno 2" xfId="256" xr:uid="{00000000-0005-0000-0000-000000010000}"/>
    <cellStyle name="Valuta 2" xfId="257" xr:uid="{00000000-0005-0000-0000-000001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AE1FA"/>
      <color rgb="FF001892"/>
      <color rgb="FF2CAAE2"/>
      <color rgb="FF99EAF6"/>
      <color rgb="FF99E5F1"/>
      <color rgb="FF99CCFF"/>
      <color rgb="FF00AE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68"/>
  <sheetViews>
    <sheetView tabSelected="1" topLeftCell="A22" zoomScaleNormal="100" zoomScaleSheetLayoutView="90" workbookViewId="0">
      <selection activeCell="K29" sqref="K29"/>
    </sheetView>
  </sheetViews>
  <sheetFormatPr defaultColWidth="8.625" defaultRowHeight="12.75"/>
  <cols>
    <col min="1" max="1" width="33.875" style="1" customWidth="1"/>
    <col min="2" max="2" width="12.625" style="3" customWidth="1"/>
    <col min="3" max="3" width="8.125" style="3" customWidth="1"/>
    <col min="4" max="4" width="20.5" style="1" customWidth="1"/>
    <col min="5" max="5" width="7.875" style="1" customWidth="1"/>
    <col min="6" max="9" width="11.625" style="8" customWidth="1"/>
    <col min="10" max="11" width="11.625" style="1" customWidth="1"/>
    <col min="12" max="13" width="9.875" style="1" hidden="1" customWidth="1"/>
    <col min="14" max="14" width="3.625" style="1" hidden="1" customWidth="1"/>
    <col min="15" max="17" width="4.875" style="1" hidden="1" customWidth="1"/>
    <col min="18" max="16384" width="8.625" style="1"/>
  </cols>
  <sheetData>
    <row r="1" spans="1:18" ht="21">
      <c r="A1" s="9" t="s">
        <v>77</v>
      </c>
      <c r="B1" s="41"/>
      <c r="C1" s="41"/>
      <c r="D1" s="41"/>
      <c r="E1" s="41"/>
      <c r="F1" s="41"/>
      <c r="G1" s="41"/>
      <c r="H1" s="41"/>
      <c r="I1" s="41"/>
      <c r="J1" s="41"/>
      <c r="K1" s="41"/>
      <c r="L1" s="41"/>
      <c r="M1" s="41"/>
      <c r="N1" s="41"/>
      <c r="O1" s="41"/>
      <c r="P1" s="41"/>
      <c r="Q1" s="41"/>
      <c r="R1" s="41"/>
    </row>
    <row r="2" spans="1:18" ht="15.75">
      <c r="A2" s="12" t="s">
        <v>88</v>
      </c>
      <c r="B2" s="43"/>
      <c r="C2" s="43"/>
      <c r="D2" s="12"/>
      <c r="E2" s="12"/>
      <c r="F2" s="12"/>
      <c r="G2" s="12"/>
      <c r="H2" s="12"/>
      <c r="I2" s="12"/>
      <c r="J2" s="12"/>
      <c r="K2" s="12"/>
    </row>
    <row r="3" spans="1:18" ht="15.75">
      <c r="A3" s="386" t="s">
        <v>3</v>
      </c>
      <c r="B3" s="393" t="s">
        <v>57</v>
      </c>
      <c r="C3" s="393" t="s">
        <v>146</v>
      </c>
      <c r="D3" s="393" t="s">
        <v>11</v>
      </c>
      <c r="E3" s="393" t="s">
        <v>151</v>
      </c>
      <c r="F3" s="44" t="s">
        <v>282</v>
      </c>
      <c r="G3" s="45" t="s">
        <v>283</v>
      </c>
      <c r="H3" s="45" t="s">
        <v>284</v>
      </c>
      <c r="I3" s="45" t="s">
        <v>285</v>
      </c>
      <c r="J3" s="391" t="s">
        <v>286</v>
      </c>
      <c r="K3" s="45" t="s">
        <v>287</v>
      </c>
    </row>
    <row r="4" spans="1:18" ht="15.75">
      <c r="A4" s="387"/>
      <c r="B4" s="396"/>
      <c r="C4" s="394"/>
      <c r="D4" s="395"/>
      <c r="E4" s="395"/>
      <c r="F4" s="44" t="s">
        <v>288</v>
      </c>
      <c r="G4" s="44" t="s">
        <v>289</v>
      </c>
      <c r="H4" s="44" t="s">
        <v>290</v>
      </c>
      <c r="I4" s="44" t="s">
        <v>291</v>
      </c>
      <c r="J4" s="392"/>
      <c r="K4" s="44" t="s">
        <v>292</v>
      </c>
    </row>
    <row r="5" spans="1:18" ht="15.75">
      <c r="A5" s="13" t="s">
        <v>12</v>
      </c>
      <c r="B5" s="46"/>
      <c r="C5" s="46"/>
      <c r="D5" s="12"/>
      <c r="E5" s="12"/>
      <c r="F5" s="12"/>
      <c r="G5" s="12"/>
      <c r="H5" s="12"/>
      <c r="I5" s="12"/>
      <c r="J5" s="12"/>
      <c r="K5" s="12"/>
    </row>
    <row r="6" spans="1:18" ht="15.75">
      <c r="A6" s="129" t="s">
        <v>237</v>
      </c>
      <c r="B6" s="127">
        <v>2016</v>
      </c>
      <c r="C6" s="50" t="s">
        <v>148</v>
      </c>
      <c r="D6" s="127" t="s">
        <v>238</v>
      </c>
      <c r="E6" s="57">
        <v>12</v>
      </c>
      <c r="F6" s="16">
        <v>12600</v>
      </c>
      <c r="G6" s="17">
        <v>15660</v>
      </c>
      <c r="H6" s="16">
        <v>17400</v>
      </c>
      <c r="I6" s="17">
        <v>20520</v>
      </c>
      <c r="J6" s="16">
        <v>26170</v>
      </c>
      <c r="K6" s="91">
        <v>21850</v>
      </c>
    </row>
    <row r="7" spans="1:18" ht="15.75">
      <c r="A7" s="129" t="s">
        <v>504</v>
      </c>
      <c r="B7" s="242">
        <v>2017</v>
      </c>
      <c r="C7" s="50" t="s">
        <v>147</v>
      </c>
      <c r="D7" s="242" t="s">
        <v>238</v>
      </c>
      <c r="E7" s="57">
        <v>12</v>
      </c>
      <c r="F7" s="16">
        <v>11700</v>
      </c>
      <c r="G7" s="17">
        <v>13700</v>
      </c>
      <c r="H7" s="16">
        <v>14800</v>
      </c>
      <c r="I7" s="17">
        <v>16850</v>
      </c>
      <c r="J7" s="16">
        <v>21890</v>
      </c>
      <c r="K7" s="91">
        <v>20200</v>
      </c>
    </row>
    <row r="8" spans="1:18" ht="15.75">
      <c r="A8" s="130" t="s">
        <v>496</v>
      </c>
      <c r="B8" s="127" t="s">
        <v>642</v>
      </c>
      <c r="C8" s="50" t="s">
        <v>147</v>
      </c>
      <c r="D8" s="127" t="s">
        <v>239</v>
      </c>
      <c r="E8" s="57">
        <v>12</v>
      </c>
      <c r="F8" s="16">
        <v>8500</v>
      </c>
      <c r="G8" s="17">
        <v>10500</v>
      </c>
      <c r="H8" s="16">
        <v>11600</v>
      </c>
      <c r="I8" s="17">
        <v>13650</v>
      </c>
      <c r="J8" s="16">
        <v>18690</v>
      </c>
      <c r="K8" s="91">
        <v>17000</v>
      </c>
    </row>
    <row r="9" spans="1:18" ht="15.75">
      <c r="A9" s="130" t="s">
        <v>496</v>
      </c>
      <c r="B9" s="282" t="s">
        <v>642</v>
      </c>
      <c r="C9" s="50" t="s">
        <v>197</v>
      </c>
      <c r="D9" s="127" t="s">
        <v>240</v>
      </c>
      <c r="E9" s="57">
        <v>12</v>
      </c>
      <c r="F9" s="16">
        <v>8500</v>
      </c>
      <c r="G9" s="17">
        <v>10500</v>
      </c>
      <c r="H9" s="16">
        <v>11600</v>
      </c>
      <c r="I9" s="17">
        <v>13650</v>
      </c>
      <c r="J9" s="16">
        <v>18690</v>
      </c>
      <c r="K9" s="91">
        <v>17000</v>
      </c>
    </row>
    <row r="10" spans="1:18" ht="15.75">
      <c r="A10" s="130" t="s">
        <v>528</v>
      </c>
      <c r="B10" s="131">
        <v>2018</v>
      </c>
      <c r="C10" s="50" t="s">
        <v>197</v>
      </c>
      <c r="D10" s="258" t="s">
        <v>240</v>
      </c>
      <c r="E10" s="50">
        <v>12</v>
      </c>
      <c r="F10" s="16">
        <v>6800</v>
      </c>
      <c r="G10" s="17">
        <v>8400</v>
      </c>
      <c r="H10" s="16">
        <v>9280</v>
      </c>
      <c r="I10" s="17">
        <v>10920</v>
      </c>
      <c r="J10" s="16">
        <v>14950</v>
      </c>
      <c r="K10" s="91">
        <v>13600</v>
      </c>
    </row>
    <row r="11" spans="1:18" ht="15.75">
      <c r="A11" s="130" t="s">
        <v>529</v>
      </c>
      <c r="B11" s="131">
        <v>2018</v>
      </c>
      <c r="C11" s="50" t="s">
        <v>103</v>
      </c>
      <c r="D11" s="258" t="s">
        <v>149</v>
      </c>
      <c r="E11" s="50">
        <v>12</v>
      </c>
      <c r="F11" s="16">
        <v>3610</v>
      </c>
      <c r="G11" s="17">
        <v>4590</v>
      </c>
      <c r="H11" s="16">
        <v>5760</v>
      </c>
      <c r="I11" s="17">
        <v>7220</v>
      </c>
      <c r="J11" s="16">
        <v>10810</v>
      </c>
      <c r="K11" s="91">
        <v>9110</v>
      </c>
    </row>
    <row r="12" spans="1:18" ht="15.75">
      <c r="A12" s="129" t="s">
        <v>241</v>
      </c>
      <c r="B12" s="127">
        <v>2016</v>
      </c>
      <c r="C12" s="50" t="s">
        <v>103</v>
      </c>
      <c r="D12" s="127" t="s">
        <v>149</v>
      </c>
      <c r="E12" s="57">
        <v>12</v>
      </c>
      <c r="F12" s="16">
        <v>3280</v>
      </c>
      <c r="G12" s="17">
        <v>4170</v>
      </c>
      <c r="H12" s="16">
        <v>5240</v>
      </c>
      <c r="I12" s="17">
        <v>6560</v>
      </c>
      <c r="J12" s="16">
        <v>9830</v>
      </c>
      <c r="K12" s="91">
        <v>8280</v>
      </c>
    </row>
    <row r="13" spans="1:18" ht="15.75">
      <c r="A13" s="129" t="s">
        <v>242</v>
      </c>
      <c r="B13" s="127">
        <v>2017</v>
      </c>
      <c r="C13" s="50" t="s">
        <v>103</v>
      </c>
      <c r="D13" s="127" t="s">
        <v>149</v>
      </c>
      <c r="E13" s="57">
        <v>12</v>
      </c>
      <c r="F13" s="16">
        <v>3280</v>
      </c>
      <c r="G13" s="17">
        <v>4170</v>
      </c>
      <c r="H13" s="16">
        <v>5240</v>
      </c>
      <c r="I13" s="17">
        <v>6560</v>
      </c>
      <c r="J13" s="16">
        <v>9830</v>
      </c>
      <c r="K13" s="91">
        <v>8280</v>
      </c>
    </row>
    <row r="14" spans="1:18" ht="15.75">
      <c r="A14" s="129" t="s">
        <v>243</v>
      </c>
      <c r="B14" s="127">
        <v>2015</v>
      </c>
      <c r="C14" s="50" t="s">
        <v>103</v>
      </c>
      <c r="D14" s="127" t="s">
        <v>149</v>
      </c>
      <c r="E14" s="57">
        <v>12</v>
      </c>
      <c r="F14" s="16">
        <v>3280</v>
      </c>
      <c r="G14" s="17">
        <v>4170</v>
      </c>
      <c r="H14" s="16">
        <v>5240</v>
      </c>
      <c r="I14" s="17">
        <v>6560</v>
      </c>
      <c r="J14" s="16">
        <v>9830</v>
      </c>
      <c r="K14" s="91">
        <v>8280</v>
      </c>
    </row>
    <row r="15" spans="1:18" ht="15.75">
      <c r="A15" s="130" t="s">
        <v>293</v>
      </c>
      <c r="B15" s="131">
        <v>2018</v>
      </c>
      <c r="C15" s="50" t="s">
        <v>103</v>
      </c>
      <c r="D15" s="127" t="s">
        <v>149</v>
      </c>
      <c r="E15" s="50">
        <v>12</v>
      </c>
      <c r="F15" s="16">
        <v>2770</v>
      </c>
      <c r="G15" s="17">
        <v>3520</v>
      </c>
      <c r="H15" s="16">
        <v>4430</v>
      </c>
      <c r="I15" s="17">
        <v>5550</v>
      </c>
      <c r="J15" s="16">
        <v>8320</v>
      </c>
      <c r="K15" s="91">
        <v>7000</v>
      </c>
    </row>
    <row r="16" spans="1:18" ht="15.75">
      <c r="A16" s="130" t="s">
        <v>514</v>
      </c>
      <c r="B16" s="131">
        <v>2018</v>
      </c>
      <c r="C16" s="50" t="s">
        <v>103</v>
      </c>
      <c r="D16" s="246" t="s">
        <v>149</v>
      </c>
      <c r="E16" s="50">
        <v>12</v>
      </c>
      <c r="F16" s="19">
        <v>2600</v>
      </c>
      <c r="G16" s="18">
        <v>3320</v>
      </c>
      <c r="H16" s="19">
        <v>4180</v>
      </c>
      <c r="I16" s="18">
        <v>5240</v>
      </c>
      <c r="J16" s="19">
        <v>7840</v>
      </c>
      <c r="K16" s="91">
        <v>6600</v>
      </c>
    </row>
    <row r="17" spans="1:11" ht="15.75">
      <c r="A17" s="129" t="s">
        <v>244</v>
      </c>
      <c r="B17" s="127" t="s">
        <v>213</v>
      </c>
      <c r="C17" s="50" t="s">
        <v>103</v>
      </c>
      <c r="D17" s="107" t="s">
        <v>149</v>
      </c>
      <c r="E17" s="50">
        <v>12</v>
      </c>
      <c r="F17" s="19">
        <v>2550</v>
      </c>
      <c r="G17" s="18">
        <v>3250</v>
      </c>
      <c r="H17" s="19">
        <v>4100</v>
      </c>
      <c r="I17" s="18">
        <v>5140</v>
      </c>
      <c r="J17" s="19">
        <v>7690</v>
      </c>
      <c r="K17" s="91">
        <v>6470</v>
      </c>
    </row>
    <row r="18" spans="1:11" ht="15.75">
      <c r="A18" s="129" t="s">
        <v>144</v>
      </c>
      <c r="B18" s="127">
        <v>2016</v>
      </c>
      <c r="C18" s="57" t="s">
        <v>152</v>
      </c>
      <c r="D18" s="31" t="s">
        <v>170</v>
      </c>
      <c r="E18" s="50">
        <v>10</v>
      </c>
      <c r="F18" s="19">
        <v>2430</v>
      </c>
      <c r="G18" s="18">
        <v>3090</v>
      </c>
      <c r="H18" s="19">
        <v>3910</v>
      </c>
      <c r="I18" s="18">
        <v>4890</v>
      </c>
      <c r="J18" s="19">
        <v>7320</v>
      </c>
      <c r="K18" s="91">
        <v>6170</v>
      </c>
    </row>
    <row r="19" spans="1:11" ht="15.75">
      <c r="A19" s="129" t="s">
        <v>244</v>
      </c>
      <c r="B19" s="127">
        <v>2016</v>
      </c>
      <c r="C19" s="50" t="s">
        <v>245</v>
      </c>
      <c r="D19" s="107" t="s">
        <v>169</v>
      </c>
      <c r="E19" s="50">
        <v>10</v>
      </c>
      <c r="F19" s="19">
        <v>2430</v>
      </c>
      <c r="G19" s="18">
        <v>3090</v>
      </c>
      <c r="H19" s="19">
        <v>3910</v>
      </c>
      <c r="I19" s="18">
        <v>4890</v>
      </c>
      <c r="J19" s="19">
        <v>7320</v>
      </c>
      <c r="K19" s="91">
        <v>6170</v>
      </c>
    </row>
    <row r="20" spans="1:11" ht="15.75">
      <c r="A20" s="129" t="s">
        <v>244</v>
      </c>
      <c r="B20" s="127" t="s">
        <v>190</v>
      </c>
      <c r="C20" s="50" t="s">
        <v>103</v>
      </c>
      <c r="D20" s="107" t="s">
        <v>149</v>
      </c>
      <c r="E20" s="50">
        <v>12</v>
      </c>
      <c r="F20" s="19">
        <v>2430</v>
      </c>
      <c r="G20" s="18">
        <v>3090</v>
      </c>
      <c r="H20" s="19">
        <v>3910</v>
      </c>
      <c r="I20" s="18">
        <v>4890</v>
      </c>
      <c r="J20" s="19">
        <v>7320</v>
      </c>
      <c r="K20" s="91">
        <v>6170</v>
      </c>
    </row>
    <row r="21" spans="1:11" ht="15.75">
      <c r="A21" s="129" t="s">
        <v>246</v>
      </c>
      <c r="B21" s="127">
        <v>2017</v>
      </c>
      <c r="C21" s="50" t="s">
        <v>103</v>
      </c>
      <c r="D21" s="107" t="s">
        <v>149</v>
      </c>
      <c r="E21" s="50">
        <v>12</v>
      </c>
      <c r="F21" s="19">
        <v>2430</v>
      </c>
      <c r="G21" s="18">
        <v>3090</v>
      </c>
      <c r="H21" s="19">
        <v>3910</v>
      </c>
      <c r="I21" s="18">
        <v>4890</v>
      </c>
      <c r="J21" s="19">
        <v>7320</v>
      </c>
      <c r="K21" s="91">
        <v>6170</v>
      </c>
    </row>
    <row r="22" spans="1:11" ht="15.75">
      <c r="A22" s="129" t="s">
        <v>246</v>
      </c>
      <c r="B22" s="127" t="s">
        <v>232</v>
      </c>
      <c r="C22" s="50" t="s">
        <v>103</v>
      </c>
      <c r="D22" s="107" t="s">
        <v>149</v>
      </c>
      <c r="E22" s="50" t="s">
        <v>247</v>
      </c>
      <c r="F22" s="19">
        <v>2230</v>
      </c>
      <c r="G22" s="18">
        <v>2840</v>
      </c>
      <c r="H22" s="19">
        <v>3600</v>
      </c>
      <c r="I22" s="18">
        <v>4510</v>
      </c>
      <c r="J22" s="19">
        <v>6750</v>
      </c>
      <c r="K22" s="91">
        <v>5680</v>
      </c>
    </row>
    <row r="23" spans="1:11" ht="15.75">
      <c r="A23" s="52" t="s">
        <v>4</v>
      </c>
      <c r="B23" s="53"/>
      <c r="C23" s="53"/>
      <c r="D23" s="54"/>
      <c r="E23" s="54"/>
      <c r="F23" s="54"/>
      <c r="G23" s="54"/>
      <c r="H23" s="54"/>
      <c r="I23" s="54"/>
      <c r="J23" s="54"/>
      <c r="K23" s="54"/>
    </row>
    <row r="24" spans="1:11" ht="15.75">
      <c r="A24" s="104" t="s">
        <v>230</v>
      </c>
      <c r="B24" s="105"/>
      <c r="C24" s="105"/>
      <c r="D24" s="55"/>
      <c r="E24" s="55"/>
      <c r="F24" s="55"/>
      <c r="G24" s="55"/>
      <c r="H24" s="55"/>
      <c r="I24" s="55"/>
      <c r="J24" s="55"/>
      <c r="K24" s="55"/>
    </row>
    <row r="25" spans="1:11" ht="15.75">
      <c r="A25" s="33" t="s">
        <v>231</v>
      </c>
      <c r="B25" s="127">
        <v>2016</v>
      </c>
      <c r="C25" s="57" t="s">
        <v>148</v>
      </c>
      <c r="D25" s="127" t="s">
        <v>150</v>
      </c>
      <c r="E25" s="50">
        <v>11</v>
      </c>
      <c r="F25" s="19">
        <v>7280</v>
      </c>
      <c r="G25" s="18">
        <v>9350</v>
      </c>
      <c r="H25" s="19">
        <v>9620</v>
      </c>
      <c r="I25" s="18">
        <v>12830</v>
      </c>
      <c r="J25" s="19">
        <v>18090</v>
      </c>
      <c r="K25" s="91">
        <v>15860</v>
      </c>
    </row>
    <row r="26" spans="1:11" ht="15.75">
      <c r="A26" s="33" t="s">
        <v>89</v>
      </c>
      <c r="B26" s="127" t="s">
        <v>213</v>
      </c>
      <c r="C26" s="57" t="s">
        <v>148</v>
      </c>
      <c r="D26" s="127" t="s">
        <v>150</v>
      </c>
      <c r="E26" s="50">
        <v>12</v>
      </c>
      <c r="F26" s="19">
        <v>3490</v>
      </c>
      <c r="G26" s="18">
        <v>4590</v>
      </c>
      <c r="H26" s="19">
        <v>5730</v>
      </c>
      <c r="I26" s="18">
        <v>7050</v>
      </c>
      <c r="J26" s="19">
        <v>10410</v>
      </c>
      <c r="K26" s="91">
        <v>8890</v>
      </c>
    </row>
    <row r="27" spans="1:11" ht="15.75">
      <c r="A27" s="33" t="s">
        <v>89</v>
      </c>
      <c r="B27" s="127">
        <v>2014</v>
      </c>
      <c r="C27" s="57" t="s">
        <v>148</v>
      </c>
      <c r="D27" s="127" t="s">
        <v>150</v>
      </c>
      <c r="E27" s="50">
        <v>12</v>
      </c>
      <c r="F27" s="19">
        <v>3320</v>
      </c>
      <c r="G27" s="18">
        <v>4370</v>
      </c>
      <c r="H27" s="19">
        <v>5460</v>
      </c>
      <c r="I27" s="18">
        <v>6710</v>
      </c>
      <c r="J27" s="19">
        <v>9950</v>
      </c>
      <c r="K27" s="91">
        <v>8470</v>
      </c>
    </row>
    <row r="28" spans="1:11" ht="15.75">
      <c r="A28" s="33" t="s">
        <v>89</v>
      </c>
      <c r="B28" s="291">
        <v>2013</v>
      </c>
      <c r="C28" s="57" t="s">
        <v>148</v>
      </c>
      <c r="D28" s="291" t="s">
        <v>150</v>
      </c>
      <c r="E28" s="50">
        <v>12</v>
      </c>
      <c r="F28" s="19">
        <v>2990</v>
      </c>
      <c r="G28" s="18">
        <v>3930</v>
      </c>
      <c r="H28" s="19">
        <v>4910</v>
      </c>
      <c r="I28" s="18">
        <v>6040</v>
      </c>
      <c r="J28" s="19">
        <v>8960</v>
      </c>
      <c r="K28" s="91">
        <v>7620</v>
      </c>
    </row>
    <row r="29" spans="1:11" ht="15.75">
      <c r="A29" s="132" t="s">
        <v>294</v>
      </c>
      <c r="B29" s="131">
        <v>2018</v>
      </c>
      <c r="C29" s="57" t="s">
        <v>148</v>
      </c>
      <c r="D29" s="127" t="s">
        <v>150</v>
      </c>
      <c r="E29" s="50">
        <v>12</v>
      </c>
      <c r="F29" s="19">
        <v>3140</v>
      </c>
      <c r="G29" s="18">
        <v>4130</v>
      </c>
      <c r="H29" s="19">
        <v>5160</v>
      </c>
      <c r="I29" s="18">
        <v>6350</v>
      </c>
      <c r="J29" s="19">
        <v>9370</v>
      </c>
      <c r="K29" s="91">
        <v>8000</v>
      </c>
    </row>
    <row r="30" spans="1:11" ht="15.75">
      <c r="A30" s="33" t="s">
        <v>192</v>
      </c>
      <c r="B30" s="127">
        <v>2016</v>
      </c>
      <c r="C30" s="57" t="s">
        <v>148</v>
      </c>
      <c r="D30" s="127" t="s">
        <v>150</v>
      </c>
      <c r="E30" s="50">
        <v>12</v>
      </c>
      <c r="F30" s="19">
        <v>2810</v>
      </c>
      <c r="G30" s="18">
        <v>3670</v>
      </c>
      <c r="H30" s="19">
        <v>4600</v>
      </c>
      <c r="I30" s="18">
        <v>5650</v>
      </c>
      <c r="J30" s="19">
        <v>8590</v>
      </c>
      <c r="K30" s="18">
        <v>7130</v>
      </c>
    </row>
    <row r="31" spans="1:11" ht="15.75">
      <c r="A31" s="133" t="s">
        <v>80</v>
      </c>
      <c r="B31" s="106" t="s">
        <v>232</v>
      </c>
      <c r="C31" s="57" t="s">
        <v>148</v>
      </c>
      <c r="D31" s="127" t="s">
        <v>150</v>
      </c>
      <c r="E31" s="50">
        <v>12</v>
      </c>
      <c r="F31" s="19">
        <v>2420</v>
      </c>
      <c r="G31" s="18">
        <v>3170</v>
      </c>
      <c r="H31" s="19">
        <v>3970</v>
      </c>
      <c r="I31" s="18">
        <v>4880</v>
      </c>
      <c r="J31" s="19">
        <v>7419.5</v>
      </c>
      <c r="K31" s="91">
        <v>6160</v>
      </c>
    </row>
    <row r="32" spans="1:11" ht="15.75">
      <c r="A32" s="133" t="s">
        <v>80</v>
      </c>
      <c r="B32" s="106">
        <v>2011</v>
      </c>
      <c r="C32" s="57" t="s">
        <v>148</v>
      </c>
      <c r="D32" s="127" t="s">
        <v>150</v>
      </c>
      <c r="E32" s="50">
        <v>12</v>
      </c>
      <c r="F32" s="19">
        <v>2190</v>
      </c>
      <c r="G32" s="18">
        <v>2859.5</v>
      </c>
      <c r="H32" s="19">
        <v>3570</v>
      </c>
      <c r="I32" s="18">
        <v>4400</v>
      </c>
      <c r="J32" s="19">
        <v>6680</v>
      </c>
      <c r="K32" s="91">
        <v>5540</v>
      </c>
    </row>
    <row r="33" spans="1:11" ht="15.75">
      <c r="A33" s="129" t="s">
        <v>233</v>
      </c>
      <c r="B33" s="58" t="s">
        <v>234</v>
      </c>
      <c r="C33" s="57" t="s">
        <v>148</v>
      </c>
      <c r="D33" s="127" t="s">
        <v>150</v>
      </c>
      <c r="E33" s="50">
        <v>12</v>
      </c>
      <c r="F33" s="19">
        <v>2550</v>
      </c>
      <c r="G33" s="18">
        <v>3340</v>
      </c>
      <c r="H33" s="19">
        <v>4180</v>
      </c>
      <c r="I33" s="18">
        <v>5140</v>
      </c>
      <c r="J33" s="19">
        <v>7810</v>
      </c>
      <c r="K33" s="91">
        <v>6480</v>
      </c>
    </row>
    <row r="34" spans="1:11" ht="15.75">
      <c r="A34" s="130" t="s">
        <v>525</v>
      </c>
      <c r="B34" s="131">
        <v>2018</v>
      </c>
      <c r="C34" s="57" t="s">
        <v>148</v>
      </c>
      <c r="D34" s="250" t="s">
        <v>150</v>
      </c>
      <c r="E34" s="50">
        <v>12</v>
      </c>
      <c r="F34" s="19">
        <v>2350</v>
      </c>
      <c r="G34" s="18">
        <v>3070</v>
      </c>
      <c r="H34" s="19">
        <v>3840</v>
      </c>
      <c r="I34" s="18">
        <v>4720</v>
      </c>
      <c r="J34" s="19">
        <v>7170</v>
      </c>
      <c r="K34" s="91">
        <v>5950</v>
      </c>
    </row>
    <row r="35" spans="1:11" ht="15.75">
      <c r="A35" s="129" t="s">
        <v>235</v>
      </c>
      <c r="B35" s="58" t="s">
        <v>234</v>
      </c>
      <c r="C35" s="57" t="s">
        <v>148</v>
      </c>
      <c r="D35" s="127" t="s">
        <v>150</v>
      </c>
      <c r="E35" s="50">
        <v>12</v>
      </c>
      <c r="F35" s="19">
        <v>2300</v>
      </c>
      <c r="G35" s="18">
        <v>3010</v>
      </c>
      <c r="H35" s="19">
        <v>3760</v>
      </c>
      <c r="I35" s="18">
        <v>4630</v>
      </c>
      <c r="J35" s="19">
        <v>7030</v>
      </c>
      <c r="K35" s="91">
        <v>5830</v>
      </c>
    </row>
    <row r="36" spans="1:11" ht="15.75">
      <c r="A36" s="129" t="s">
        <v>82</v>
      </c>
      <c r="B36" s="58" t="s">
        <v>236</v>
      </c>
      <c r="C36" s="57" t="s">
        <v>148</v>
      </c>
      <c r="D36" s="127" t="s">
        <v>150</v>
      </c>
      <c r="E36" s="50">
        <v>12</v>
      </c>
      <c r="F36" s="19">
        <v>2090</v>
      </c>
      <c r="G36" s="18">
        <v>2750</v>
      </c>
      <c r="H36" s="19">
        <v>3429.5</v>
      </c>
      <c r="I36" s="18">
        <v>4290</v>
      </c>
      <c r="J36" s="19">
        <v>6480</v>
      </c>
      <c r="K36" s="91">
        <v>5420</v>
      </c>
    </row>
    <row r="37" spans="1:11" ht="15.75">
      <c r="A37" s="13" t="s">
        <v>63</v>
      </c>
      <c r="B37" s="59"/>
      <c r="C37" s="59"/>
      <c r="D37" s="59"/>
      <c r="E37" s="59"/>
      <c r="F37" s="59"/>
      <c r="G37" s="59"/>
      <c r="H37" s="59"/>
      <c r="I37" s="59"/>
      <c r="J37" s="59"/>
      <c r="K37" s="59"/>
    </row>
    <row r="38" spans="1:11" ht="15.75">
      <c r="A38" s="261" t="s">
        <v>531</v>
      </c>
      <c r="B38" s="131">
        <v>2018</v>
      </c>
      <c r="C38" s="57" t="s">
        <v>152</v>
      </c>
      <c r="D38" s="258" t="s">
        <v>530</v>
      </c>
      <c r="E38" s="50">
        <v>10</v>
      </c>
      <c r="F38" s="19">
        <v>7280</v>
      </c>
      <c r="G38" s="18">
        <v>9350</v>
      </c>
      <c r="H38" s="19">
        <v>9620</v>
      </c>
      <c r="I38" s="18">
        <v>12830</v>
      </c>
      <c r="J38" s="19">
        <v>18090</v>
      </c>
      <c r="K38" s="91">
        <v>15860</v>
      </c>
    </row>
    <row r="39" spans="1:11" ht="15.75">
      <c r="A39" s="133" t="s">
        <v>188</v>
      </c>
      <c r="B39" s="127">
        <v>2015</v>
      </c>
      <c r="C39" s="57" t="s">
        <v>152</v>
      </c>
      <c r="D39" s="127" t="s">
        <v>154</v>
      </c>
      <c r="E39" s="50">
        <v>11</v>
      </c>
      <c r="F39" s="19">
        <v>3840</v>
      </c>
      <c r="G39" s="18">
        <v>5060</v>
      </c>
      <c r="H39" s="19">
        <v>6330</v>
      </c>
      <c r="I39" s="18">
        <v>7760</v>
      </c>
      <c r="J39" s="19">
        <v>11520</v>
      </c>
      <c r="K39" s="91">
        <v>9790</v>
      </c>
    </row>
    <row r="40" spans="1:11" ht="15.75">
      <c r="A40" s="133" t="s">
        <v>189</v>
      </c>
      <c r="B40" s="127">
        <v>2014</v>
      </c>
      <c r="C40" s="57" t="s">
        <v>152</v>
      </c>
      <c r="D40" s="127" t="s">
        <v>154</v>
      </c>
      <c r="E40" s="50">
        <v>11</v>
      </c>
      <c r="F40" s="19">
        <v>3320</v>
      </c>
      <c r="G40" s="18">
        <v>4370</v>
      </c>
      <c r="H40" s="19">
        <v>5460</v>
      </c>
      <c r="I40" s="18">
        <v>6710</v>
      </c>
      <c r="J40" s="19">
        <v>9950</v>
      </c>
      <c r="K40" s="91">
        <v>8470</v>
      </c>
    </row>
    <row r="41" spans="1:11" ht="15.75">
      <c r="A41" s="133" t="s">
        <v>139</v>
      </c>
      <c r="B41" s="127">
        <v>2015</v>
      </c>
      <c r="C41" s="57" t="s">
        <v>152</v>
      </c>
      <c r="D41" s="127" t="s">
        <v>155</v>
      </c>
      <c r="E41" s="50">
        <v>12</v>
      </c>
      <c r="F41" s="19">
        <v>3320</v>
      </c>
      <c r="G41" s="18">
        <v>4370</v>
      </c>
      <c r="H41" s="19">
        <v>5460</v>
      </c>
      <c r="I41" s="18">
        <v>6710</v>
      </c>
      <c r="J41" s="19">
        <v>9950</v>
      </c>
      <c r="K41" s="91">
        <v>8470</v>
      </c>
    </row>
    <row r="42" spans="1:11" ht="15.75">
      <c r="A42" s="133" t="s">
        <v>139</v>
      </c>
      <c r="B42" s="127">
        <v>2012</v>
      </c>
      <c r="C42" s="57" t="s">
        <v>152</v>
      </c>
      <c r="D42" s="127" t="s">
        <v>155</v>
      </c>
      <c r="E42" s="50">
        <v>12</v>
      </c>
      <c r="F42" s="19">
        <v>2850</v>
      </c>
      <c r="G42" s="18">
        <v>3730</v>
      </c>
      <c r="H42" s="19">
        <v>4670</v>
      </c>
      <c r="I42" s="18">
        <v>5730</v>
      </c>
      <c r="J42" s="19">
        <v>8600</v>
      </c>
      <c r="K42" s="91">
        <v>7230</v>
      </c>
    </row>
    <row r="43" spans="1:11" ht="15.75">
      <c r="A43" s="133" t="s">
        <v>142</v>
      </c>
      <c r="B43" s="127">
        <v>2015</v>
      </c>
      <c r="C43" s="57" t="s">
        <v>152</v>
      </c>
      <c r="D43" s="127" t="s">
        <v>155</v>
      </c>
      <c r="E43" s="50">
        <v>12</v>
      </c>
      <c r="F43" s="19">
        <v>2730</v>
      </c>
      <c r="G43" s="18">
        <v>3570</v>
      </c>
      <c r="H43" s="19">
        <v>4470</v>
      </c>
      <c r="I43" s="18">
        <v>5700</v>
      </c>
      <c r="J43" s="19">
        <v>8540</v>
      </c>
      <c r="K43" s="91">
        <v>7190</v>
      </c>
    </row>
    <row r="44" spans="1:11" ht="15.75">
      <c r="A44" s="129" t="s">
        <v>83</v>
      </c>
      <c r="B44" s="127">
        <v>2011</v>
      </c>
      <c r="C44" s="57" t="s">
        <v>152</v>
      </c>
      <c r="D44" s="127" t="s">
        <v>95</v>
      </c>
      <c r="E44" s="50">
        <v>10</v>
      </c>
      <c r="F44" s="19">
        <v>2090</v>
      </c>
      <c r="G44" s="18">
        <v>2730</v>
      </c>
      <c r="H44" s="19">
        <v>3420</v>
      </c>
      <c r="I44" s="18">
        <v>4360</v>
      </c>
      <c r="J44" s="19">
        <v>6540</v>
      </c>
      <c r="K44" s="91">
        <v>5500</v>
      </c>
    </row>
    <row r="45" spans="1:11" ht="15.75">
      <c r="A45" s="133" t="s">
        <v>192</v>
      </c>
      <c r="B45" s="127">
        <v>2017</v>
      </c>
      <c r="C45" s="57" t="s">
        <v>152</v>
      </c>
      <c r="D45" s="127" t="s">
        <v>154</v>
      </c>
      <c r="E45" s="50">
        <v>12</v>
      </c>
      <c r="F45" s="19">
        <v>2810</v>
      </c>
      <c r="G45" s="18">
        <v>3670</v>
      </c>
      <c r="H45" s="19">
        <v>4600</v>
      </c>
      <c r="I45" s="18">
        <v>5650</v>
      </c>
      <c r="J45" s="19">
        <v>8590</v>
      </c>
      <c r="K45" s="18">
        <v>7130</v>
      </c>
    </row>
    <row r="46" spans="1:11" ht="15.75">
      <c r="A46" s="129" t="s">
        <v>198</v>
      </c>
      <c r="B46" s="127" t="s">
        <v>228</v>
      </c>
      <c r="C46" s="57">
        <v>5</v>
      </c>
      <c r="D46" s="32" t="s">
        <v>158</v>
      </c>
      <c r="E46" s="60">
        <v>12</v>
      </c>
      <c r="F46" s="16">
        <v>1940</v>
      </c>
      <c r="G46" s="17">
        <v>2650</v>
      </c>
      <c r="H46" s="16">
        <v>3310</v>
      </c>
      <c r="I46" s="17">
        <v>4180</v>
      </c>
      <c r="J46" s="16">
        <v>6460</v>
      </c>
      <c r="K46" s="91">
        <v>5280</v>
      </c>
    </row>
    <row r="47" spans="1:11" ht="15.75">
      <c r="A47" s="130" t="s">
        <v>524</v>
      </c>
      <c r="B47" s="249">
        <v>2018</v>
      </c>
      <c r="C47" s="60">
        <v>5</v>
      </c>
      <c r="D47" s="32" t="s">
        <v>158</v>
      </c>
      <c r="E47" s="61">
        <v>12</v>
      </c>
      <c r="F47" s="19">
        <v>2050</v>
      </c>
      <c r="G47" s="18">
        <v>2730</v>
      </c>
      <c r="H47" s="19">
        <v>3410</v>
      </c>
      <c r="I47" s="18">
        <v>4310</v>
      </c>
      <c r="J47" s="19">
        <v>6650</v>
      </c>
      <c r="K47" s="91">
        <v>5390</v>
      </c>
    </row>
    <row r="48" spans="1:11" ht="15.75">
      <c r="A48" s="129" t="s">
        <v>84</v>
      </c>
      <c r="B48" s="127" t="s">
        <v>229</v>
      </c>
      <c r="C48" s="60">
        <v>5</v>
      </c>
      <c r="D48" s="32" t="s">
        <v>158</v>
      </c>
      <c r="E48" s="61">
        <v>12</v>
      </c>
      <c r="F48" s="19">
        <v>1990</v>
      </c>
      <c r="G48" s="18">
        <v>2600</v>
      </c>
      <c r="H48" s="19">
        <v>3250</v>
      </c>
      <c r="I48" s="18">
        <v>4140</v>
      </c>
      <c r="J48" s="19">
        <v>6210</v>
      </c>
      <c r="K48" s="91">
        <v>5230</v>
      </c>
    </row>
    <row r="49" spans="1:11" ht="15.75">
      <c r="A49" s="129" t="s">
        <v>84</v>
      </c>
      <c r="B49" s="32">
        <v>2013</v>
      </c>
      <c r="C49" s="60">
        <v>5</v>
      </c>
      <c r="D49" s="32" t="s">
        <v>158</v>
      </c>
      <c r="E49" s="61">
        <v>12</v>
      </c>
      <c r="F49" s="19">
        <v>1870</v>
      </c>
      <c r="G49" s="18">
        <v>2460</v>
      </c>
      <c r="H49" s="19">
        <v>3070</v>
      </c>
      <c r="I49" s="18">
        <v>3910</v>
      </c>
      <c r="J49" s="19">
        <v>5870</v>
      </c>
      <c r="K49" s="91">
        <v>4950</v>
      </c>
    </row>
    <row r="50" spans="1:11" ht="15.75">
      <c r="A50" s="13" t="s">
        <v>5</v>
      </c>
      <c r="B50" s="46"/>
      <c r="C50" s="46"/>
      <c r="D50" s="47"/>
      <c r="E50" s="47"/>
      <c r="F50" s="47"/>
      <c r="G50" s="47"/>
      <c r="H50" s="47"/>
      <c r="I50" s="47"/>
      <c r="J50" s="47"/>
      <c r="K50" s="47"/>
    </row>
    <row r="51" spans="1:11" ht="15.75">
      <c r="A51" s="129" t="s">
        <v>505</v>
      </c>
      <c r="B51" s="58" t="s">
        <v>86</v>
      </c>
      <c r="C51" s="62" t="s">
        <v>156</v>
      </c>
      <c r="D51" s="32" t="s">
        <v>157</v>
      </c>
      <c r="E51" s="61">
        <v>10</v>
      </c>
      <c r="F51" s="19">
        <v>2460</v>
      </c>
      <c r="G51" s="18">
        <v>3070</v>
      </c>
      <c r="H51" s="19">
        <v>3800</v>
      </c>
      <c r="I51" s="18">
        <v>4700</v>
      </c>
      <c r="J51" s="19">
        <v>6930</v>
      </c>
      <c r="K51" s="91">
        <v>5910</v>
      </c>
    </row>
    <row r="52" spans="1:11" ht="15.75">
      <c r="A52" s="129" t="s">
        <v>84</v>
      </c>
      <c r="B52" s="58" t="s">
        <v>213</v>
      </c>
      <c r="C52" s="62" t="s">
        <v>156</v>
      </c>
      <c r="D52" s="32" t="s">
        <v>157</v>
      </c>
      <c r="E52" s="61">
        <v>10</v>
      </c>
      <c r="F52" s="19">
        <v>1890</v>
      </c>
      <c r="G52" s="18">
        <v>2470</v>
      </c>
      <c r="H52" s="19">
        <v>3090</v>
      </c>
      <c r="I52" s="18">
        <v>3930</v>
      </c>
      <c r="J52" s="19">
        <v>5899.5</v>
      </c>
      <c r="K52" s="91">
        <v>4970</v>
      </c>
    </row>
    <row r="53" spans="1:11" ht="15.75">
      <c r="A53" s="129" t="s">
        <v>84</v>
      </c>
      <c r="B53" s="32">
        <v>2014</v>
      </c>
      <c r="C53" s="60">
        <v>4</v>
      </c>
      <c r="D53" s="32" t="s">
        <v>157</v>
      </c>
      <c r="E53" s="61">
        <v>10</v>
      </c>
      <c r="F53" s="19">
        <v>1780</v>
      </c>
      <c r="G53" s="18">
        <v>2340</v>
      </c>
      <c r="H53" s="19">
        <v>2920</v>
      </c>
      <c r="I53" s="18">
        <v>3720</v>
      </c>
      <c r="J53" s="19">
        <v>5580</v>
      </c>
      <c r="K53" s="91">
        <v>4700</v>
      </c>
    </row>
    <row r="54" spans="1:11" ht="15.75">
      <c r="A54" s="133" t="s">
        <v>85</v>
      </c>
      <c r="B54" s="63" t="s">
        <v>143</v>
      </c>
      <c r="C54" s="60">
        <v>4</v>
      </c>
      <c r="D54" s="32" t="s">
        <v>157</v>
      </c>
      <c r="E54" s="61">
        <v>10</v>
      </c>
      <c r="F54" s="19">
        <v>1660</v>
      </c>
      <c r="G54" s="18">
        <v>2180</v>
      </c>
      <c r="H54" s="19">
        <v>2720</v>
      </c>
      <c r="I54" s="18">
        <v>3480</v>
      </c>
      <c r="J54" s="19">
        <v>5220</v>
      </c>
      <c r="K54" s="91">
        <v>4380</v>
      </c>
    </row>
    <row r="55" spans="1:11" ht="15.75">
      <c r="A55" s="129" t="s">
        <v>179</v>
      </c>
      <c r="B55" s="63" t="s">
        <v>210</v>
      </c>
      <c r="C55" s="60">
        <v>4</v>
      </c>
      <c r="D55" s="32" t="s">
        <v>157</v>
      </c>
      <c r="E55" s="61">
        <v>10</v>
      </c>
      <c r="F55" s="19">
        <v>1540</v>
      </c>
      <c r="G55" s="18">
        <v>2020</v>
      </c>
      <c r="H55" s="19">
        <v>2530</v>
      </c>
      <c r="I55" s="18">
        <v>3110</v>
      </c>
      <c r="J55" s="19">
        <v>4730</v>
      </c>
      <c r="K55" s="91">
        <v>3930</v>
      </c>
    </row>
    <row r="56" spans="1:11" ht="15.75">
      <c r="A56" s="129" t="s">
        <v>53</v>
      </c>
      <c r="B56" s="64">
        <v>2014</v>
      </c>
      <c r="C56" s="60">
        <v>4</v>
      </c>
      <c r="D56" s="32" t="s">
        <v>157</v>
      </c>
      <c r="E56" s="61">
        <v>10</v>
      </c>
      <c r="F56" s="19">
        <v>1590</v>
      </c>
      <c r="G56" s="18">
        <v>2080</v>
      </c>
      <c r="H56" s="19">
        <v>2610</v>
      </c>
      <c r="I56" s="18">
        <v>3200</v>
      </c>
      <c r="J56" s="19">
        <v>4870</v>
      </c>
      <c r="K56" s="91">
        <v>4050</v>
      </c>
    </row>
    <row r="57" spans="1:11" ht="15.75">
      <c r="A57" s="129" t="s">
        <v>7</v>
      </c>
      <c r="B57" s="63" t="s">
        <v>140</v>
      </c>
      <c r="C57" s="60">
        <v>4</v>
      </c>
      <c r="D57" s="127" t="s">
        <v>157</v>
      </c>
      <c r="E57" s="61">
        <v>10</v>
      </c>
      <c r="F57" s="19">
        <v>1470</v>
      </c>
      <c r="G57" s="18">
        <v>1920</v>
      </c>
      <c r="H57" s="19">
        <v>2400</v>
      </c>
      <c r="I57" s="18">
        <v>2960</v>
      </c>
      <c r="J57" s="19">
        <v>4500</v>
      </c>
      <c r="K57" s="91">
        <v>3730</v>
      </c>
    </row>
    <row r="58" spans="1:11" ht="15.75">
      <c r="A58" s="133" t="s">
        <v>195</v>
      </c>
      <c r="B58" s="63" t="s">
        <v>213</v>
      </c>
      <c r="C58" s="60">
        <v>4</v>
      </c>
      <c r="D58" s="127" t="s">
        <v>157</v>
      </c>
      <c r="E58" s="61">
        <v>10</v>
      </c>
      <c r="F58" s="19">
        <v>1500</v>
      </c>
      <c r="G58" s="18">
        <v>1960</v>
      </c>
      <c r="H58" s="19">
        <v>2460</v>
      </c>
      <c r="I58" s="18">
        <v>3020</v>
      </c>
      <c r="J58" s="19">
        <v>4580</v>
      </c>
      <c r="K58" s="91">
        <v>3800</v>
      </c>
    </row>
    <row r="59" spans="1:11" ht="15.75">
      <c r="A59" s="132" t="s">
        <v>295</v>
      </c>
      <c r="B59" s="134" t="s">
        <v>296</v>
      </c>
      <c r="C59" s="60">
        <v>4</v>
      </c>
      <c r="D59" s="127" t="s">
        <v>157</v>
      </c>
      <c r="E59" s="61">
        <v>10</v>
      </c>
      <c r="F59" s="19">
        <v>1590</v>
      </c>
      <c r="G59" s="18">
        <v>2080</v>
      </c>
      <c r="H59" s="19">
        <v>2610</v>
      </c>
      <c r="I59" s="18">
        <v>3200</v>
      </c>
      <c r="J59" s="19">
        <v>4870</v>
      </c>
      <c r="K59" s="91">
        <v>4050</v>
      </c>
    </row>
    <row r="60" spans="1:11" ht="15.75">
      <c r="A60" s="133" t="s">
        <v>24</v>
      </c>
      <c r="B60" s="65" t="s">
        <v>194</v>
      </c>
      <c r="C60" s="60">
        <v>4</v>
      </c>
      <c r="D60" s="127" t="s">
        <v>157</v>
      </c>
      <c r="E60" s="61">
        <v>10</v>
      </c>
      <c r="F60" s="19">
        <v>1360</v>
      </c>
      <c r="G60" s="18">
        <v>1780</v>
      </c>
      <c r="H60" s="19">
        <v>2220</v>
      </c>
      <c r="I60" s="18">
        <v>2740</v>
      </c>
      <c r="J60" s="19">
        <v>4150</v>
      </c>
      <c r="K60" s="91">
        <v>3450</v>
      </c>
    </row>
    <row r="61" spans="1:11" ht="15.75">
      <c r="A61" s="133" t="s">
        <v>24</v>
      </c>
      <c r="B61" s="65" t="s">
        <v>160</v>
      </c>
      <c r="C61" s="60">
        <v>4</v>
      </c>
      <c r="D61" s="127" t="s">
        <v>157</v>
      </c>
      <c r="E61" s="61">
        <v>10</v>
      </c>
      <c r="F61" s="19">
        <v>1290</v>
      </c>
      <c r="G61" s="18">
        <v>1690</v>
      </c>
      <c r="H61" s="19">
        <v>2110</v>
      </c>
      <c r="I61" s="18">
        <v>2600</v>
      </c>
      <c r="J61" s="19">
        <v>3950</v>
      </c>
      <c r="K61" s="91">
        <v>3280</v>
      </c>
    </row>
    <row r="62" spans="1:11" ht="15.75">
      <c r="A62" s="129" t="s">
        <v>0</v>
      </c>
      <c r="B62" s="63" t="s">
        <v>14</v>
      </c>
      <c r="C62" s="60">
        <v>4</v>
      </c>
      <c r="D62" s="127" t="s">
        <v>157</v>
      </c>
      <c r="E62" s="60">
        <v>10</v>
      </c>
      <c r="F62" s="16">
        <v>1240</v>
      </c>
      <c r="G62" s="17">
        <v>1620</v>
      </c>
      <c r="H62" s="16">
        <v>2030</v>
      </c>
      <c r="I62" s="17">
        <v>2490</v>
      </c>
      <c r="J62" s="16">
        <v>3800</v>
      </c>
      <c r="K62" s="91">
        <v>3150</v>
      </c>
    </row>
    <row r="63" spans="1:11" ht="15.75">
      <c r="A63" s="13" t="s">
        <v>1</v>
      </c>
      <c r="B63" s="46"/>
      <c r="C63" s="46"/>
      <c r="D63" s="47"/>
      <c r="E63" s="47"/>
      <c r="F63" s="47"/>
      <c r="G63" s="47"/>
      <c r="H63" s="47"/>
      <c r="I63" s="47"/>
      <c r="J63" s="47"/>
      <c r="K63" s="47"/>
    </row>
    <row r="64" spans="1:11" ht="15.75">
      <c r="A64" s="129" t="s">
        <v>90</v>
      </c>
      <c r="B64" s="127">
        <v>2014</v>
      </c>
      <c r="C64" s="57">
        <v>3</v>
      </c>
      <c r="D64" s="127" t="s">
        <v>159</v>
      </c>
      <c r="E64" s="50">
        <v>8</v>
      </c>
      <c r="F64" s="19">
        <v>1470</v>
      </c>
      <c r="G64" s="18">
        <v>1920</v>
      </c>
      <c r="H64" s="19">
        <v>2400</v>
      </c>
      <c r="I64" s="18">
        <v>2960</v>
      </c>
      <c r="J64" s="19">
        <v>4500</v>
      </c>
      <c r="K64" s="91">
        <v>3730</v>
      </c>
    </row>
    <row r="65" spans="1:11" ht="15.75">
      <c r="A65" s="132" t="s">
        <v>317</v>
      </c>
      <c r="B65" s="153">
        <v>2018</v>
      </c>
      <c r="C65" s="57">
        <v>3</v>
      </c>
      <c r="D65" s="127" t="s">
        <v>159</v>
      </c>
      <c r="E65" s="61">
        <v>8</v>
      </c>
      <c r="F65" s="19">
        <v>1410</v>
      </c>
      <c r="G65" s="18">
        <v>1850</v>
      </c>
      <c r="H65" s="19">
        <v>2300</v>
      </c>
      <c r="I65" s="18">
        <v>2930</v>
      </c>
      <c r="J65" s="19">
        <v>4300</v>
      </c>
      <c r="K65" s="91">
        <v>3650</v>
      </c>
    </row>
    <row r="66" spans="1:11" ht="15.75">
      <c r="A66" s="129" t="s">
        <v>226</v>
      </c>
      <c r="B66" s="66">
        <v>2017</v>
      </c>
      <c r="C66" s="57">
        <v>3</v>
      </c>
      <c r="D66" s="127" t="s">
        <v>159</v>
      </c>
      <c r="E66" s="61">
        <v>8</v>
      </c>
      <c r="F66" s="19">
        <v>1350</v>
      </c>
      <c r="G66" s="18">
        <v>1760</v>
      </c>
      <c r="H66" s="19">
        <v>2200</v>
      </c>
      <c r="I66" s="18">
        <v>2700</v>
      </c>
      <c r="J66" s="19">
        <v>4110</v>
      </c>
      <c r="K66" s="91">
        <v>3420</v>
      </c>
    </row>
    <row r="67" spans="1:11" ht="15.75">
      <c r="A67" s="129" t="s">
        <v>141</v>
      </c>
      <c r="B67" s="66">
        <v>2015</v>
      </c>
      <c r="C67" s="57">
        <v>3</v>
      </c>
      <c r="D67" s="127" t="s">
        <v>159</v>
      </c>
      <c r="E67" s="61">
        <v>8</v>
      </c>
      <c r="F67" s="19">
        <v>1280</v>
      </c>
      <c r="G67" s="18">
        <v>1670</v>
      </c>
      <c r="H67" s="19">
        <v>2090</v>
      </c>
      <c r="I67" s="18">
        <v>2570</v>
      </c>
      <c r="J67" s="19">
        <v>3910</v>
      </c>
      <c r="K67" s="91">
        <v>3250</v>
      </c>
    </row>
    <row r="68" spans="1:11" ht="15.75">
      <c r="A68" s="129" t="s">
        <v>64</v>
      </c>
      <c r="B68" s="58" t="s">
        <v>47</v>
      </c>
      <c r="C68" s="57">
        <v>3</v>
      </c>
      <c r="D68" s="127">
        <v>6</v>
      </c>
      <c r="E68" s="61">
        <v>8</v>
      </c>
      <c r="F68" s="19">
        <v>910</v>
      </c>
      <c r="G68" s="18">
        <v>1170</v>
      </c>
      <c r="H68" s="19">
        <v>1460</v>
      </c>
      <c r="I68" s="18">
        <v>1870</v>
      </c>
      <c r="J68" s="19">
        <v>2820</v>
      </c>
      <c r="K68" s="91">
        <v>2370</v>
      </c>
    </row>
    <row r="69" spans="1:11" ht="15.75">
      <c r="A69" s="397" t="s">
        <v>94</v>
      </c>
      <c r="B69" s="397"/>
      <c r="C69" s="397"/>
      <c r="D69" s="397"/>
      <c r="E69" s="397"/>
      <c r="F69" s="397"/>
      <c r="G69" s="397"/>
      <c r="H69" s="69"/>
      <c r="I69" s="69"/>
      <c r="J69" s="30"/>
      <c r="K69" s="67"/>
    </row>
    <row r="70" spans="1:11" ht="15.75">
      <c r="A70" s="68" t="s">
        <v>60</v>
      </c>
      <c r="B70" s="69"/>
      <c r="C70" s="69"/>
      <c r="D70" s="69"/>
      <c r="E70" s="69"/>
      <c r="F70" s="69"/>
      <c r="G70" s="69"/>
      <c r="H70" s="69"/>
      <c r="I70" s="69"/>
      <c r="J70" s="69"/>
      <c r="K70" s="67"/>
    </row>
    <row r="71" spans="1:11" ht="15.75">
      <c r="A71" s="68" t="s">
        <v>58</v>
      </c>
      <c r="B71" s="69" t="s">
        <v>81</v>
      </c>
      <c r="C71" s="69"/>
      <c r="D71" s="69"/>
      <c r="E71" s="69"/>
      <c r="F71" s="69"/>
      <c r="G71" s="69"/>
      <c r="H71" s="69"/>
      <c r="I71" s="69"/>
      <c r="J71" s="69"/>
      <c r="K71" s="67"/>
    </row>
    <row r="72" spans="1:11" ht="15.75">
      <c r="A72" s="70" t="s">
        <v>59</v>
      </c>
      <c r="B72" s="69"/>
      <c r="C72" s="69"/>
      <c r="D72" s="69"/>
      <c r="E72" s="69"/>
      <c r="F72" s="69"/>
      <c r="G72" s="69"/>
      <c r="H72" s="69"/>
      <c r="I72" s="69"/>
      <c r="J72" s="69"/>
      <c r="K72" s="67"/>
    </row>
    <row r="73" spans="1:11" ht="15.75">
      <c r="A73" s="22" t="s">
        <v>92</v>
      </c>
      <c r="B73" s="71"/>
      <c r="C73" s="71"/>
      <c r="D73" s="71"/>
      <c r="E73" s="71"/>
      <c r="F73" s="69"/>
      <c r="G73" s="69"/>
      <c r="H73" s="69"/>
      <c r="I73" s="69"/>
      <c r="J73" s="69"/>
      <c r="K73" s="67"/>
    </row>
    <row r="74" spans="1:11" ht="15.75">
      <c r="A74" s="22" t="s">
        <v>193</v>
      </c>
      <c r="B74" s="71"/>
      <c r="C74" s="71"/>
      <c r="D74" s="71"/>
      <c r="E74" s="71"/>
      <c r="F74" s="69"/>
      <c r="G74" s="69"/>
      <c r="H74" s="69"/>
      <c r="I74" s="69"/>
      <c r="J74" s="69"/>
      <c r="K74" s="67"/>
    </row>
    <row r="75" spans="1:11" ht="15.75">
      <c r="A75" s="22" t="s">
        <v>96</v>
      </c>
      <c r="B75" s="71"/>
      <c r="C75" s="71"/>
      <c r="D75" s="71"/>
      <c r="E75" s="71"/>
      <c r="F75" s="69"/>
      <c r="G75" s="69"/>
      <c r="H75" s="69"/>
      <c r="I75" s="69"/>
      <c r="J75" s="69"/>
      <c r="K75" s="67"/>
    </row>
    <row r="76" spans="1:11">
      <c r="A76" s="310" t="s">
        <v>522</v>
      </c>
      <c r="B76" s="311"/>
      <c r="C76" s="311"/>
      <c r="D76" s="311"/>
      <c r="E76" s="311"/>
      <c r="F76" s="311"/>
      <c r="G76" s="311"/>
      <c r="H76" s="312"/>
      <c r="I76" s="312"/>
      <c r="J76" s="313"/>
      <c r="K76" s="314"/>
    </row>
    <row r="77" spans="1:11" ht="20.25" customHeight="1">
      <c r="A77" s="315"/>
      <c r="B77" s="316"/>
      <c r="C77" s="316"/>
      <c r="D77" s="316"/>
      <c r="E77" s="316"/>
      <c r="F77" s="316"/>
      <c r="G77" s="316"/>
      <c r="H77" s="316"/>
      <c r="I77" s="316"/>
      <c r="J77" s="316"/>
      <c r="K77" s="317"/>
    </row>
    <row r="78" spans="1:11" ht="21">
      <c r="A78" s="9" t="s">
        <v>297</v>
      </c>
      <c r="B78" s="41"/>
      <c r="C78" s="41"/>
      <c r="D78" s="41"/>
      <c r="E78" s="41"/>
      <c r="F78" s="41"/>
      <c r="G78" s="41"/>
      <c r="H78" s="41"/>
      <c r="I78" s="41"/>
      <c r="J78" s="41"/>
      <c r="K78" s="41"/>
    </row>
    <row r="79" spans="1:11" ht="15.75">
      <c r="A79" s="12" t="s">
        <v>88</v>
      </c>
      <c r="B79" s="43"/>
      <c r="C79" s="43"/>
      <c r="D79" s="12"/>
      <c r="E79" s="12"/>
      <c r="F79" s="12"/>
      <c r="G79" s="12"/>
      <c r="H79" s="12"/>
      <c r="I79" s="12"/>
      <c r="J79" s="12"/>
      <c r="K79" s="12"/>
    </row>
    <row r="80" spans="1:11" ht="15.75">
      <c r="A80" s="386" t="s">
        <v>3</v>
      </c>
      <c r="B80" s="393" t="s">
        <v>57</v>
      </c>
      <c r="C80" s="393" t="s">
        <v>146</v>
      </c>
      <c r="D80" s="393" t="s">
        <v>11</v>
      </c>
      <c r="E80" s="393" t="s">
        <v>151</v>
      </c>
      <c r="F80" s="44" t="s">
        <v>282</v>
      </c>
      <c r="G80" s="45" t="s">
        <v>283</v>
      </c>
      <c r="H80" s="45" t="s">
        <v>284</v>
      </c>
      <c r="I80" s="45" t="s">
        <v>285</v>
      </c>
      <c r="J80" s="391" t="s">
        <v>286</v>
      </c>
      <c r="K80" s="45" t="s">
        <v>287</v>
      </c>
    </row>
    <row r="81" spans="1:11" ht="15.75">
      <c r="A81" s="387"/>
      <c r="B81" s="396"/>
      <c r="C81" s="394"/>
      <c r="D81" s="395"/>
      <c r="E81" s="395"/>
      <c r="F81" s="44" t="s">
        <v>288</v>
      </c>
      <c r="G81" s="44" t="s">
        <v>289</v>
      </c>
      <c r="H81" s="44" t="s">
        <v>290</v>
      </c>
      <c r="I81" s="44" t="s">
        <v>291</v>
      </c>
      <c r="J81" s="392"/>
      <c r="K81" s="44" t="s">
        <v>292</v>
      </c>
    </row>
    <row r="82" spans="1:11" ht="15.75">
      <c r="A82" s="13" t="s">
        <v>12</v>
      </c>
      <c r="B82" s="46"/>
      <c r="C82" s="46"/>
      <c r="D82" s="12"/>
      <c r="E82" s="12"/>
      <c r="F82" s="12"/>
      <c r="G82" s="12"/>
      <c r="H82" s="12"/>
      <c r="I82" s="12"/>
      <c r="J82" s="12"/>
      <c r="K82" s="12"/>
    </row>
    <row r="83" spans="1:11" ht="15.75">
      <c r="A83" s="129" t="s">
        <v>237</v>
      </c>
      <c r="B83" s="127">
        <v>2017</v>
      </c>
      <c r="C83" s="50" t="s">
        <v>148</v>
      </c>
      <c r="D83" s="127" t="s">
        <v>238</v>
      </c>
      <c r="E83" s="57">
        <v>12</v>
      </c>
      <c r="F83" s="16">
        <v>12600</v>
      </c>
      <c r="G83" s="17">
        <v>15660</v>
      </c>
      <c r="H83" s="16">
        <v>17400</v>
      </c>
      <c r="I83" s="17">
        <v>20520</v>
      </c>
      <c r="J83" s="16">
        <v>26170</v>
      </c>
      <c r="K83" s="91">
        <v>21850</v>
      </c>
    </row>
    <row r="84" spans="1:11" ht="15.75">
      <c r="A84" s="130" t="s">
        <v>496</v>
      </c>
      <c r="B84" s="127" t="s">
        <v>497</v>
      </c>
      <c r="C84" s="50" t="s">
        <v>197</v>
      </c>
      <c r="D84" s="127" t="s">
        <v>240</v>
      </c>
      <c r="E84" s="57">
        <v>12</v>
      </c>
      <c r="F84" s="16">
        <v>8500</v>
      </c>
      <c r="G84" s="17">
        <v>10500</v>
      </c>
      <c r="H84" s="16">
        <v>11600</v>
      </c>
      <c r="I84" s="17">
        <v>13650</v>
      </c>
      <c r="J84" s="16">
        <v>18690</v>
      </c>
      <c r="K84" s="91">
        <v>17000</v>
      </c>
    </row>
    <row r="85" spans="1:11" ht="15.75">
      <c r="A85" s="130" t="s">
        <v>532</v>
      </c>
      <c r="B85" s="131">
        <v>2018</v>
      </c>
      <c r="C85" s="50" t="s">
        <v>103</v>
      </c>
      <c r="D85" s="258" t="s">
        <v>149</v>
      </c>
      <c r="E85" s="57">
        <v>12</v>
      </c>
      <c r="F85" s="16">
        <v>3280</v>
      </c>
      <c r="G85" s="17">
        <v>4170</v>
      </c>
      <c r="H85" s="16">
        <v>5240</v>
      </c>
      <c r="I85" s="17">
        <v>6560</v>
      </c>
      <c r="J85" s="16">
        <v>9830</v>
      </c>
      <c r="K85" s="91">
        <v>8280</v>
      </c>
    </row>
    <row r="86" spans="1:11" ht="15.75">
      <c r="A86" s="130" t="s">
        <v>293</v>
      </c>
      <c r="B86" s="131">
        <v>2018</v>
      </c>
      <c r="C86" s="50" t="s">
        <v>103</v>
      </c>
      <c r="D86" s="127" t="s">
        <v>149</v>
      </c>
      <c r="E86" s="50">
        <v>12</v>
      </c>
      <c r="F86" s="16">
        <v>2770</v>
      </c>
      <c r="G86" s="17">
        <v>3520</v>
      </c>
      <c r="H86" s="16">
        <v>4430</v>
      </c>
      <c r="I86" s="17">
        <v>5550</v>
      </c>
      <c r="J86" s="16">
        <v>8320</v>
      </c>
      <c r="K86" s="91">
        <v>7000</v>
      </c>
    </row>
    <row r="87" spans="1:11" ht="15.75">
      <c r="A87" s="129" t="s">
        <v>244</v>
      </c>
      <c r="B87" s="127" t="s">
        <v>190</v>
      </c>
      <c r="C87" s="50" t="s">
        <v>103</v>
      </c>
      <c r="D87" s="107" t="s">
        <v>149</v>
      </c>
      <c r="E87" s="50">
        <v>12</v>
      </c>
      <c r="F87" s="19">
        <v>2430</v>
      </c>
      <c r="G87" s="18">
        <v>3090</v>
      </c>
      <c r="H87" s="19">
        <v>3910</v>
      </c>
      <c r="I87" s="18">
        <v>4890</v>
      </c>
      <c r="J87" s="19">
        <v>7320</v>
      </c>
      <c r="K87" s="91">
        <v>6170</v>
      </c>
    </row>
    <row r="88" spans="1:11" ht="15.75">
      <c r="A88" s="52" t="s">
        <v>4</v>
      </c>
      <c r="B88" s="53"/>
      <c r="C88" s="53"/>
      <c r="D88" s="54"/>
      <c r="E88" s="54"/>
      <c r="F88" s="54"/>
      <c r="G88" s="54"/>
      <c r="H88" s="54"/>
      <c r="I88" s="54"/>
      <c r="J88" s="54"/>
      <c r="K88" s="54"/>
    </row>
    <row r="89" spans="1:11" ht="15.75">
      <c r="A89" s="104" t="s">
        <v>230</v>
      </c>
      <c r="B89" s="105"/>
      <c r="C89" s="105"/>
      <c r="D89" s="55"/>
      <c r="E89" s="55"/>
      <c r="F89" s="55"/>
      <c r="G89" s="55"/>
      <c r="H89" s="55"/>
      <c r="I89" s="55"/>
      <c r="J89" s="55"/>
      <c r="K89" s="55"/>
    </row>
    <row r="90" spans="1:11" ht="15.75">
      <c r="A90" s="132" t="s">
        <v>294</v>
      </c>
      <c r="B90" s="131">
        <v>2018</v>
      </c>
      <c r="C90" s="57" t="s">
        <v>148</v>
      </c>
      <c r="D90" s="127" t="s">
        <v>150</v>
      </c>
      <c r="E90" s="50">
        <v>12</v>
      </c>
      <c r="F90" s="19">
        <v>3140</v>
      </c>
      <c r="G90" s="18">
        <v>4130</v>
      </c>
      <c r="H90" s="19">
        <v>5160</v>
      </c>
      <c r="I90" s="18">
        <v>6350</v>
      </c>
      <c r="J90" s="19">
        <v>9370</v>
      </c>
      <c r="K90" s="91">
        <v>8000</v>
      </c>
    </row>
    <row r="91" spans="1:11" ht="15.75">
      <c r="A91" s="15" t="s">
        <v>235</v>
      </c>
      <c r="B91" s="58" t="s">
        <v>234</v>
      </c>
      <c r="C91" s="57" t="s">
        <v>148</v>
      </c>
      <c r="D91" s="239" t="s">
        <v>150</v>
      </c>
      <c r="E91" s="50">
        <v>12</v>
      </c>
      <c r="F91" s="19">
        <v>2300</v>
      </c>
      <c r="G91" s="18">
        <v>3010</v>
      </c>
      <c r="H91" s="19">
        <v>3760</v>
      </c>
      <c r="I91" s="18">
        <v>4630</v>
      </c>
      <c r="J91" s="19">
        <v>7030</v>
      </c>
      <c r="K91" s="91">
        <v>5830</v>
      </c>
    </row>
    <row r="92" spans="1:11" ht="15.75">
      <c r="A92" s="130" t="s">
        <v>498</v>
      </c>
      <c r="B92" s="131">
        <v>2018</v>
      </c>
      <c r="C92" s="57" t="s">
        <v>148</v>
      </c>
      <c r="D92" s="239" t="s">
        <v>150</v>
      </c>
      <c r="E92" s="50">
        <v>12</v>
      </c>
      <c r="F92" s="19">
        <v>2550</v>
      </c>
      <c r="G92" s="18">
        <v>3340</v>
      </c>
      <c r="H92" s="19">
        <v>4180</v>
      </c>
      <c r="I92" s="18">
        <v>5140</v>
      </c>
      <c r="J92" s="19">
        <v>7810</v>
      </c>
      <c r="K92" s="91">
        <v>6480</v>
      </c>
    </row>
    <row r="93" spans="1:11" ht="15.75">
      <c r="A93" s="13" t="s">
        <v>63</v>
      </c>
      <c r="B93" s="59"/>
      <c r="C93" s="59"/>
      <c r="D93" s="59"/>
      <c r="E93" s="59"/>
      <c r="F93" s="59"/>
      <c r="G93" s="59"/>
      <c r="H93" s="59"/>
      <c r="I93" s="59"/>
      <c r="J93" s="59"/>
      <c r="K93" s="59"/>
    </row>
    <row r="94" spans="1:11" ht="15.75">
      <c r="A94" s="129" t="s">
        <v>84</v>
      </c>
      <c r="B94" s="243">
        <v>2016</v>
      </c>
      <c r="C94" s="60">
        <v>5</v>
      </c>
      <c r="D94" s="32" t="s">
        <v>158</v>
      </c>
      <c r="E94" s="61">
        <v>12</v>
      </c>
      <c r="F94" s="19">
        <v>1990</v>
      </c>
      <c r="G94" s="18">
        <v>2600</v>
      </c>
      <c r="H94" s="19">
        <v>3250</v>
      </c>
      <c r="I94" s="18">
        <v>4140</v>
      </c>
      <c r="J94" s="19">
        <v>6210</v>
      </c>
      <c r="K94" s="91">
        <v>5230</v>
      </c>
    </row>
    <row r="95" spans="1:11" ht="15.75">
      <c r="A95" s="33" t="s">
        <v>192</v>
      </c>
      <c r="B95" s="127">
        <v>2016</v>
      </c>
      <c r="C95" s="57" t="s">
        <v>152</v>
      </c>
      <c r="D95" s="127" t="s">
        <v>154</v>
      </c>
      <c r="E95" s="50">
        <v>12</v>
      </c>
      <c r="F95" s="19">
        <v>2810</v>
      </c>
      <c r="G95" s="18">
        <v>3670</v>
      </c>
      <c r="H95" s="19">
        <v>4600</v>
      </c>
      <c r="I95" s="18">
        <v>5650</v>
      </c>
      <c r="J95" s="19">
        <v>8590</v>
      </c>
      <c r="K95" s="18">
        <v>7130</v>
      </c>
    </row>
    <row r="96" spans="1:11" ht="15.75">
      <c r="A96" s="13" t="s">
        <v>5</v>
      </c>
      <c r="B96" s="46"/>
      <c r="C96" s="46"/>
      <c r="D96" s="47"/>
      <c r="E96" s="47"/>
      <c r="F96" s="47"/>
      <c r="G96" s="47"/>
      <c r="H96" s="47"/>
      <c r="I96" s="47"/>
      <c r="J96" s="47"/>
      <c r="K96" s="47"/>
    </row>
    <row r="97" spans="1:11" ht="15.75">
      <c r="A97" s="129" t="s">
        <v>84</v>
      </c>
      <c r="B97" s="32">
        <v>2014</v>
      </c>
      <c r="C97" s="60">
        <v>4</v>
      </c>
      <c r="D97" s="32" t="s">
        <v>157</v>
      </c>
      <c r="E97" s="61">
        <v>10</v>
      </c>
      <c r="F97" s="19">
        <v>1780</v>
      </c>
      <c r="G97" s="18">
        <v>2340</v>
      </c>
      <c r="H97" s="19">
        <v>2920</v>
      </c>
      <c r="I97" s="18">
        <v>3720</v>
      </c>
      <c r="J97" s="19">
        <v>5580</v>
      </c>
      <c r="K97" s="91">
        <v>4700</v>
      </c>
    </row>
    <row r="98" spans="1:11" ht="15.75">
      <c r="A98" s="132" t="s">
        <v>499</v>
      </c>
      <c r="B98" s="134" t="s">
        <v>296</v>
      </c>
      <c r="C98" s="60">
        <v>4</v>
      </c>
      <c r="D98" s="32" t="s">
        <v>157</v>
      </c>
      <c r="E98" s="61">
        <v>10</v>
      </c>
      <c r="F98" s="19">
        <v>1740</v>
      </c>
      <c r="G98" s="18">
        <v>2290</v>
      </c>
      <c r="H98" s="19">
        <v>2860</v>
      </c>
      <c r="I98" s="18">
        <v>3650</v>
      </c>
      <c r="J98" s="19">
        <v>5480</v>
      </c>
      <c r="K98" s="91">
        <v>4600</v>
      </c>
    </row>
    <row r="99" spans="1:11" ht="15.75">
      <c r="A99" s="397" t="s">
        <v>94</v>
      </c>
      <c r="B99" s="397"/>
      <c r="C99" s="397"/>
      <c r="D99" s="397"/>
      <c r="E99" s="397"/>
      <c r="F99" s="397"/>
      <c r="G99" s="397"/>
      <c r="H99" s="69"/>
      <c r="I99" s="69"/>
      <c r="J99" s="30"/>
      <c r="K99" s="67"/>
    </row>
    <row r="100" spans="1:11" ht="15.75">
      <c r="A100" s="68" t="s">
        <v>60</v>
      </c>
      <c r="B100" s="69"/>
      <c r="C100" s="69"/>
      <c r="D100" s="69"/>
      <c r="E100" s="69"/>
      <c r="F100" s="69"/>
      <c r="G100" s="69"/>
      <c r="H100" s="69"/>
      <c r="I100" s="69"/>
      <c r="J100" s="69"/>
      <c r="K100" s="67"/>
    </row>
    <row r="101" spans="1:11" ht="15.75">
      <c r="A101" s="68" t="s">
        <v>58</v>
      </c>
      <c r="B101" s="69" t="s">
        <v>81</v>
      </c>
      <c r="C101" s="69"/>
      <c r="D101" s="69"/>
      <c r="E101" s="69"/>
      <c r="F101" s="69"/>
      <c r="G101" s="69"/>
      <c r="H101" s="69"/>
      <c r="I101" s="69"/>
      <c r="J101" s="69"/>
      <c r="K101" s="67"/>
    </row>
    <row r="102" spans="1:11" ht="15.75">
      <c r="A102" s="70" t="s">
        <v>59</v>
      </c>
      <c r="B102" s="69"/>
      <c r="C102" s="69"/>
      <c r="D102" s="69"/>
      <c r="E102" s="69"/>
      <c r="F102" s="69"/>
      <c r="G102" s="69"/>
      <c r="H102" s="69"/>
      <c r="I102" s="69"/>
      <c r="J102" s="69"/>
      <c r="K102" s="67"/>
    </row>
    <row r="103" spans="1:11" ht="15.75">
      <c r="A103" s="22" t="s">
        <v>92</v>
      </c>
      <c r="B103" s="71"/>
      <c r="C103" s="71"/>
      <c r="D103" s="71"/>
      <c r="E103" s="71"/>
      <c r="F103" s="69"/>
      <c r="G103" s="69"/>
      <c r="H103" s="69"/>
      <c r="I103" s="69"/>
      <c r="J103" s="69"/>
      <c r="K103" s="67"/>
    </row>
    <row r="104" spans="1:11" ht="15.75">
      <c r="A104" s="22" t="s">
        <v>184</v>
      </c>
      <c r="B104" s="71"/>
      <c r="C104" s="71"/>
      <c r="D104" s="71"/>
      <c r="E104" s="71"/>
      <c r="F104" s="69"/>
      <c r="G104" s="69"/>
      <c r="H104" s="69"/>
      <c r="I104" s="69"/>
      <c r="J104" s="69"/>
      <c r="K104" s="67"/>
    </row>
    <row r="105" spans="1:11" ht="15.75">
      <c r="A105" s="22" t="s">
        <v>193</v>
      </c>
      <c r="B105" s="71"/>
      <c r="C105" s="71"/>
      <c r="D105" s="71"/>
      <c r="E105" s="71"/>
      <c r="F105" s="69"/>
      <c r="G105" s="69"/>
      <c r="H105" s="69"/>
      <c r="I105" s="69"/>
      <c r="J105" s="69"/>
      <c r="K105" s="67"/>
    </row>
    <row r="106" spans="1:11" ht="15.75">
      <c r="A106" s="22" t="s">
        <v>96</v>
      </c>
      <c r="B106" s="71"/>
      <c r="C106" s="71"/>
      <c r="D106" s="71"/>
      <c r="E106" s="71"/>
      <c r="F106" s="69"/>
      <c r="G106" s="69"/>
      <c r="H106" s="69"/>
      <c r="I106" s="69"/>
      <c r="J106" s="69"/>
      <c r="K106" s="67"/>
    </row>
    <row r="107" spans="1:11" ht="15.75">
      <c r="A107" s="22"/>
      <c r="B107" s="71"/>
      <c r="C107" s="71"/>
      <c r="D107" s="71"/>
      <c r="E107" s="71"/>
      <c r="F107" s="69"/>
      <c r="G107" s="69"/>
      <c r="H107" s="69"/>
      <c r="I107" s="69"/>
      <c r="J107" s="69"/>
      <c r="K107" s="67"/>
    </row>
    <row r="108" spans="1:11" ht="23.25">
      <c r="A108" s="135" t="s">
        <v>298</v>
      </c>
      <c r="B108" s="5"/>
      <c r="C108" s="103"/>
      <c r="E108" s="135" t="s">
        <v>299</v>
      </c>
      <c r="F108" s="69"/>
      <c r="G108" s="69"/>
      <c r="H108" s="69"/>
      <c r="I108" s="69"/>
      <c r="J108" s="69"/>
      <c r="K108" s="69"/>
    </row>
    <row r="109" spans="1:11" ht="21">
      <c r="A109" s="9" t="s">
        <v>77</v>
      </c>
      <c r="B109" s="41"/>
      <c r="C109" s="41"/>
      <c r="D109" s="41"/>
      <c r="E109" s="41"/>
      <c r="F109" s="69"/>
      <c r="G109" s="69"/>
      <c r="H109" s="69"/>
      <c r="I109" s="69"/>
      <c r="J109" s="69"/>
      <c r="K109" s="69"/>
    </row>
    <row r="110" spans="1:11" ht="15.75">
      <c r="A110" s="12" t="s">
        <v>88</v>
      </c>
      <c r="B110" s="43"/>
      <c r="C110" s="43"/>
      <c r="D110" s="12"/>
      <c r="E110" s="12"/>
      <c r="F110" s="69"/>
      <c r="G110" s="69"/>
      <c r="H110" s="69"/>
      <c r="I110" s="69"/>
      <c r="J110" s="69"/>
      <c r="K110" s="69"/>
    </row>
    <row r="111" spans="1:11" ht="15.75">
      <c r="A111" s="386" t="s">
        <v>3</v>
      </c>
      <c r="B111" s="393" t="s">
        <v>57</v>
      </c>
      <c r="C111" s="393" t="s">
        <v>146</v>
      </c>
      <c r="D111" s="393" t="s">
        <v>11</v>
      </c>
      <c r="E111" s="393" t="s">
        <v>151</v>
      </c>
      <c r="F111" s="44" t="s">
        <v>282</v>
      </c>
      <c r="G111" s="45" t="s">
        <v>283</v>
      </c>
      <c r="H111" s="45" t="s">
        <v>284</v>
      </c>
      <c r="I111" s="45" t="s">
        <v>285</v>
      </c>
      <c r="J111" s="391" t="s">
        <v>286</v>
      </c>
      <c r="K111" s="45" t="s">
        <v>287</v>
      </c>
    </row>
    <row r="112" spans="1:11" ht="15.75">
      <c r="A112" s="387"/>
      <c r="B112" s="396"/>
      <c r="C112" s="394"/>
      <c r="D112" s="395"/>
      <c r="E112" s="395"/>
      <c r="F112" s="44" t="s">
        <v>288</v>
      </c>
      <c r="G112" s="44" t="s">
        <v>289</v>
      </c>
      <c r="H112" s="44" t="s">
        <v>290</v>
      </c>
      <c r="I112" s="44" t="s">
        <v>291</v>
      </c>
      <c r="J112" s="392"/>
      <c r="K112" s="44" t="s">
        <v>292</v>
      </c>
    </row>
    <row r="113" spans="1:11" ht="15.75">
      <c r="A113" s="13" t="s">
        <v>12</v>
      </c>
      <c r="B113" s="53"/>
      <c r="C113" s="53"/>
      <c r="D113" s="12"/>
      <c r="E113" s="12"/>
      <c r="F113" s="12"/>
      <c r="G113" s="12"/>
      <c r="H113" s="12"/>
      <c r="I113" s="12"/>
      <c r="J113" s="12"/>
      <c r="K113" s="12"/>
    </row>
    <row r="114" spans="1:11" ht="15.75">
      <c r="A114" s="129" t="s">
        <v>246</v>
      </c>
      <c r="B114" s="127" t="s">
        <v>232</v>
      </c>
      <c r="C114" s="57" t="s">
        <v>103</v>
      </c>
      <c r="D114" s="127" t="s">
        <v>149</v>
      </c>
      <c r="E114" s="57" t="s">
        <v>247</v>
      </c>
      <c r="F114" s="16">
        <v>2230</v>
      </c>
      <c r="G114" s="17">
        <v>2840</v>
      </c>
      <c r="H114" s="16">
        <v>3600</v>
      </c>
      <c r="I114" s="17">
        <v>4510</v>
      </c>
      <c r="J114" s="16">
        <v>6750</v>
      </c>
      <c r="K114" s="91">
        <v>5680</v>
      </c>
    </row>
    <row r="115" spans="1:11" ht="15.75">
      <c r="A115" s="104" t="s">
        <v>230</v>
      </c>
      <c r="B115" s="105"/>
      <c r="C115" s="105"/>
      <c r="D115" s="55"/>
      <c r="E115" s="55"/>
      <c r="F115" s="55"/>
      <c r="G115" s="55"/>
      <c r="H115" s="55"/>
      <c r="I115" s="55"/>
      <c r="J115" s="55"/>
      <c r="K115" s="55"/>
    </row>
    <row r="116" spans="1:11" ht="15.75">
      <c r="A116" s="129" t="s">
        <v>82</v>
      </c>
      <c r="B116" s="58" t="s">
        <v>236</v>
      </c>
      <c r="C116" s="57" t="s">
        <v>148</v>
      </c>
      <c r="D116" s="127" t="s">
        <v>150</v>
      </c>
      <c r="E116" s="50">
        <v>12</v>
      </c>
      <c r="F116" s="19">
        <v>2090</v>
      </c>
      <c r="G116" s="18">
        <v>2750</v>
      </c>
      <c r="H116" s="19">
        <v>3429.5</v>
      </c>
      <c r="I116" s="18">
        <v>4290</v>
      </c>
      <c r="J116" s="19">
        <v>6480</v>
      </c>
      <c r="K116" s="91">
        <v>5420</v>
      </c>
    </row>
    <row r="117" spans="1:11" ht="15.75">
      <c r="A117" s="13" t="s">
        <v>5</v>
      </c>
      <c r="B117" s="46"/>
      <c r="C117" s="46"/>
      <c r="D117" s="47"/>
      <c r="E117" s="47"/>
      <c r="F117" s="47"/>
      <c r="G117" s="47"/>
      <c r="H117" s="47"/>
      <c r="I117" s="47"/>
      <c r="J117" s="47"/>
      <c r="K117" s="47"/>
    </row>
    <row r="118" spans="1:11" ht="15.75">
      <c r="A118" s="133" t="s">
        <v>24</v>
      </c>
      <c r="B118" s="65" t="s">
        <v>194</v>
      </c>
      <c r="C118" s="60">
        <v>4</v>
      </c>
      <c r="D118" s="127" t="s">
        <v>157</v>
      </c>
      <c r="E118" s="61">
        <v>10</v>
      </c>
      <c r="F118" s="19">
        <v>1360</v>
      </c>
      <c r="G118" s="18">
        <v>1780</v>
      </c>
      <c r="H118" s="19">
        <v>2220</v>
      </c>
      <c r="I118" s="18">
        <v>2740</v>
      </c>
      <c r="J118" s="19">
        <v>4150</v>
      </c>
      <c r="K118" s="91">
        <v>3450</v>
      </c>
    </row>
    <row r="119" spans="1:11" ht="15.75">
      <c r="A119" s="133" t="s">
        <v>24</v>
      </c>
      <c r="B119" s="65" t="s">
        <v>160</v>
      </c>
      <c r="C119" s="60">
        <v>4</v>
      </c>
      <c r="D119" s="127" t="s">
        <v>157</v>
      </c>
      <c r="E119" s="61">
        <v>10</v>
      </c>
      <c r="F119" s="19">
        <v>1290</v>
      </c>
      <c r="G119" s="18">
        <v>1690</v>
      </c>
      <c r="H119" s="19">
        <v>2110</v>
      </c>
      <c r="I119" s="18">
        <v>2600</v>
      </c>
      <c r="J119" s="19">
        <v>3950</v>
      </c>
      <c r="K119" s="91">
        <v>3280</v>
      </c>
    </row>
    <row r="120" spans="1:11" ht="15.75">
      <c r="A120" s="22"/>
      <c r="B120" s="71"/>
      <c r="C120" s="71"/>
      <c r="D120" s="71"/>
      <c r="E120" s="71"/>
      <c r="F120" s="69"/>
      <c r="G120" s="69"/>
      <c r="H120" s="69"/>
      <c r="I120" s="69"/>
      <c r="J120" s="69"/>
      <c r="K120" s="67"/>
    </row>
    <row r="121" spans="1:11" ht="390.75" customHeight="1">
      <c r="A121" s="122" t="s">
        <v>217</v>
      </c>
      <c r="B121" s="406" t="s">
        <v>300</v>
      </c>
      <c r="C121" s="407"/>
      <c r="D121" s="407"/>
      <c r="E121" s="407"/>
      <c r="F121" s="407"/>
      <c r="G121" s="407"/>
      <c r="H121" s="407"/>
      <c r="I121" s="407"/>
      <c r="J121" s="407"/>
      <c r="K121" s="408"/>
    </row>
    <row r="122" spans="1:11" ht="15.75">
      <c r="A122" s="22"/>
      <c r="B122" s="71"/>
      <c r="C122" s="71"/>
      <c r="D122" s="71"/>
      <c r="E122" s="71"/>
      <c r="F122" s="69"/>
      <c r="G122" s="69"/>
      <c r="H122" s="69"/>
      <c r="I122" s="69"/>
      <c r="J122" s="69"/>
      <c r="K122" s="67"/>
    </row>
    <row r="123" spans="1:11" ht="12.75" customHeight="1">
      <c r="A123" s="310" t="s">
        <v>522</v>
      </c>
      <c r="B123" s="311"/>
      <c r="C123" s="311"/>
      <c r="D123" s="311"/>
      <c r="E123" s="311"/>
      <c r="F123" s="311"/>
      <c r="G123" s="311"/>
      <c r="H123" s="312"/>
      <c r="I123" s="312"/>
      <c r="J123" s="313"/>
      <c r="K123" s="314"/>
    </row>
    <row r="124" spans="1:11" ht="23.25" customHeight="1">
      <c r="A124" s="315"/>
      <c r="B124" s="316"/>
      <c r="C124" s="316"/>
      <c r="D124" s="316"/>
      <c r="E124" s="316"/>
      <c r="F124" s="316"/>
      <c r="G124" s="316"/>
      <c r="H124" s="316"/>
      <c r="I124" s="316"/>
      <c r="J124" s="316"/>
      <c r="K124" s="317"/>
    </row>
    <row r="125" spans="1:11" ht="15.75">
      <c r="A125" s="4"/>
      <c r="B125" s="5"/>
      <c r="C125" s="5"/>
      <c r="D125" s="5"/>
      <c r="E125" s="5"/>
      <c r="F125" s="103"/>
      <c r="G125" s="103"/>
      <c r="H125" s="103"/>
      <c r="I125" s="103"/>
      <c r="J125" s="2"/>
      <c r="K125" s="6"/>
    </row>
    <row r="126" spans="1:11" ht="15.75">
      <c r="A126" s="35" t="s">
        <v>8</v>
      </c>
      <c r="B126" s="398" t="s">
        <v>211</v>
      </c>
      <c r="C126" s="399"/>
      <c r="D126" s="399"/>
      <c r="E126" s="399"/>
      <c r="F126" s="399"/>
      <c r="G126" s="399"/>
      <c r="H126" s="399"/>
      <c r="I126" s="399"/>
      <c r="J126" s="399"/>
      <c r="K126" s="400"/>
    </row>
    <row r="127" spans="1:11" ht="52.5" customHeight="1">
      <c r="A127" s="401" t="s">
        <v>9</v>
      </c>
      <c r="B127" s="403" t="s">
        <v>456</v>
      </c>
      <c r="C127" s="404"/>
      <c r="D127" s="404"/>
      <c r="E127" s="404"/>
      <c r="F127" s="404"/>
      <c r="G127" s="404"/>
      <c r="H127" s="404"/>
      <c r="I127" s="404"/>
      <c r="J127" s="404"/>
      <c r="K127" s="405"/>
    </row>
    <row r="128" spans="1:11" ht="15.75">
      <c r="A128" s="402"/>
      <c r="B128" s="388" t="s">
        <v>91</v>
      </c>
      <c r="C128" s="389"/>
      <c r="D128" s="389"/>
      <c r="E128" s="389"/>
      <c r="F128" s="389"/>
      <c r="G128" s="389"/>
      <c r="H128" s="389"/>
      <c r="I128" s="389"/>
      <c r="J128" s="389"/>
      <c r="K128" s="390"/>
    </row>
    <row r="129" spans="1:11" ht="21">
      <c r="A129" s="409" t="s">
        <v>248</v>
      </c>
      <c r="B129" s="409"/>
      <c r="C129" s="409"/>
      <c r="D129" s="410"/>
      <c r="E129" s="87"/>
      <c r="F129" s="36" t="s">
        <v>6</v>
      </c>
      <c r="G129" s="42"/>
      <c r="H129" s="42"/>
      <c r="I129" s="42"/>
      <c r="J129" s="41"/>
      <c r="K129" s="41"/>
    </row>
    <row r="130" spans="1:11" ht="21">
      <c r="A130" s="235"/>
      <c r="B130" s="235"/>
      <c r="C130" s="235"/>
      <c r="D130" s="236"/>
      <c r="E130" s="87"/>
      <c r="F130" s="36"/>
      <c r="G130" s="42"/>
      <c r="H130" s="42"/>
      <c r="I130" s="42"/>
      <c r="J130" s="41"/>
      <c r="K130" s="41"/>
    </row>
    <row r="131" spans="1:11" ht="31.5">
      <c r="A131" s="231" t="s">
        <v>486</v>
      </c>
      <c r="B131" s="374" t="s">
        <v>494</v>
      </c>
      <c r="C131" s="374"/>
      <c r="D131" s="374"/>
      <c r="E131" s="374"/>
      <c r="F131" s="374"/>
      <c r="G131" s="370"/>
      <c r="H131" s="411"/>
      <c r="I131" s="411"/>
      <c r="J131" s="411"/>
      <c r="K131" s="412"/>
    </row>
    <row r="132" spans="1:11" ht="31.5">
      <c r="A132" s="232" t="s">
        <v>508</v>
      </c>
      <c r="B132" s="382" t="s">
        <v>161</v>
      </c>
      <c r="C132" s="382"/>
      <c r="D132" s="376"/>
      <c r="E132" s="376"/>
      <c r="F132" s="376"/>
      <c r="G132" s="382"/>
      <c r="H132" s="413"/>
      <c r="I132" s="413"/>
      <c r="J132" s="413"/>
      <c r="K132" s="414"/>
    </row>
    <row r="133" spans="1:11" ht="15.75" customHeight="1">
      <c r="A133" s="232" t="s">
        <v>487</v>
      </c>
      <c r="B133" s="382" t="s">
        <v>485</v>
      </c>
      <c r="C133" s="382"/>
      <c r="D133" s="376"/>
      <c r="E133" s="376"/>
      <c r="F133" s="376"/>
      <c r="G133" s="382"/>
      <c r="H133" s="413"/>
      <c r="I133" s="413"/>
      <c r="J133" s="413"/>
      <c r="K133" s="414"/>
    </row>
    <row r="134" spans="1:11" ht="35.25" customHeight="1">
      <c r="A134" s="237" t="s">
        <v>489</v>
      </c>
      <c r="B134" s="382" t="s">
        <v>493</v>
      </c>
      <c r="C134" s="382"/>
      <c r="D134" s="376"/>
      <c r="E134" s="376"/>
      <c r="F134" s="376"/>
      <c r="G134" s="415"/>
      <c r="H134" s="413"/>
      <c r="I134" s="413"/>
      <c r="J134" s="413"/>
      <c r="K134" s="414"/>
    </row>
    <row r="135" spans="1:11" ht="15.75" customHeight="1">
      <c r="A135" s="237" t="s">
        <v>488</v>
      </c>
      <c r="B135" s="382" t="s">
        <v>490</v>
      </c>
      <c r="C135" s="382"/>
      <c r="D135" s="376"/>
      <c r="E135" s="376"/>
      <c r="F135" s="376"/>
      <c r="G135" s="233"/>
      <c r="H135" s="229"/>
      <c r="I135" s="229"/>
      <c r="J135" s="229"/>
      <c r="K135" s="230"/>
    </row>
    <row r="136" spans="1:11" ht="15.75" customHeight="1">
      <c r="A136" s="38" t="s">
        <v>491</v>
      </c>
      <c r="B136" s="322" t="s">
        <v>495</v>
      </c>
      <c r="C136" s="323"/>
      <c r="D136" s="363"/>
      <c r="E136" s="363"/>
      <c r="F136" s="363"/>
      <c r="G136" s="300"/>
      <c r="H136" s="300"/>
      <c r="I136" s="300"/>
      <c r="J136" s="300"/>
      <c r="K136" s="301"/>
    </row>
    <row r="137" spans="1:11" ht="15.75">
      <c r="A137" s="368" t="s">
        <v>454</v>
      </c>
      <c r="B137" s="381" t="s">
        <v>32</v>
      </c>
      <c r="C137" s="382"/>
      <c r="D137" s="382"/>
      <c r="E137" s="382"/>
      <c r="F137" s="382"/>
      <c r="G137" s="382"/>
      <c r="H137" s="382" t="s">
        <v>93</v>
      </c>
      <c r="I137" s="382"/>
      <c r="J137" s="382"/>
      <c r="K137" s="383"/>
    </row>
    <row r="138" spans="1:11" ht="38.25" customHeight="1">
      <c r="A138" s="368"/>
      <c r="B138" s="347" t="s">
        <v>477</v>
      </c>
      <c r="C138" s="348"/>
      <c r="D138" s="348"/>
      <c r="E138" s="348"/>
      <c r="F138" s="348"/>
      <c r="G138" s="348"/>
      <c r="H138" s="348"/>
      <c r="I138" s="348"/>
      <c r="J138" s="348"/>
      <c r="K138" s="349"/>
    </row>
    <row r="139" spans="1:11" ht="15.75">
      <c r="A139" s="368"/>
      <c r="B139" s="369" t="s">
        <v>186</v>
      </c>
      <c r="C139" s="370"/>
      <c r="D139" s="370"/>
      <c r="E139" s="370"/>
      <c r="F139" s="370"/>
      <c r="G139" s="370"/>
      <c r="H139" s="384" t="s">
        <v>172</v>
      </c>
      <c r="I139" s="384"/>
      <c r="J139" s="384"/>
      <c r="K139" s="385"/>
    </row>
    <row r="140" spans="1:11" ht="15.75">
      <c r="A140" s="326"/>
      <c r="B140" s="302" t="s">
        <v>97</v>
      </c>
      <c r="C140" s="292"/>
      <c r="D140" s="292"/>
      <c r="E140" s="292"/>
      <c r="F140" s="292"/>
      <c r="G140" s="292"/>
      <c r="H140" s="292"/>
      <c r="I140" s="292"/>
      <c r="J140" s="292"/>
      <c r="K140" s="303"/>
    </row>
    <row r="141" spans="1:11" ht="15.75">
      <c r="A141" s="375"/>
      <c r="B141" s="347" t="s">
        <v>187</v>
      </c>
      <c r="C141" s="348"/>
      <c r="D141" s="348"/>
      <c r="E141" s="348"/>
      <c r="F141" s="348"/>
      <c r="G141" s="348"/>
      <c r="H141" s="348"/>
      <c r="I141" s="348"/>
      <c r="J141" s="348"/>
      <c r="K141" s="349"/>
    </row>
    <row r="142" spans="1:11" ht="15.75">
      <c r="A142" s="367" t="s">
        <v>455</v>
      </c>
      <c r="B142" s="302" t="s">
        <v>173</v>
      </c>
      <c r="C142" s="292"/>
      <c r="D142" s="292"/>
      <c r="E142" s="292"/>
      <c r="F142" s="292"/>
      <c r="G142" s="292"/>
      <c r="H142" s="292"/>
      <c r="I142" s="292"/>
      <c r="J142" s="292"/>
      <c r="K142" s="303"/>
    </row>
    <row r="143" spans="1:11" ht="15.75">
      <c r="A143" s="368"/>
      <c r="B143" s="302" t="s">
        <v>162</v>
      </c>
      <c r="C143" s="292"/>
      <c r="D143" s="292"/>
      <c r="E143" s="292"/>
      <c r="F143" s="292"/>
      <c r="G143" s="292"/>
      <c r="H143" s="292"/>
      <c r="I143" s="292"/>
      <c r="J143" s="292"/>
      <c r="K143" s="303"/>
    </row>
    <row r="144" spans="1:11" ht="15.75">
      <c r="A144" s="326"/>
      <c r="B144" s="302" t="s">
        <v>182</v>
      </c>
      <c r="C144" s="292"/>
      <c r="D144" s="292"/>
      <c r="E144" s="292"/>
      <c r="F144" s="292"/>
      <c r="G144" s="292"/>
      <c r="H144" s="292"/>
      <c r="I144" s="292"/>
      <c r="J144" s="292"/>
      <c r="K144" s="303"/>
    </row>
    <row r="145" spans="1:11" ht="15.75">
      <c r="A145" s="368"/>
      <c r="B145" s="302" t="s">
        <v>163</v>
      </c>
      <c r="C145" s="292"/>
      <c r="D145" s="361"/>
      <c r="E145" s="361"/>
      <c r="F145" s="361"/>
      <c r="G145" s="361"/>
      <c r="H145" s="361"/>
      <c r="I145" s="361"/>
      <c r="J145" s="361"/>
      <c r="K145" s="365"/>
    </row>
    <row r="146" spans="1:11" ht="15.75">
      <c r="A146" s="368"/>
      <c r="B146" s="302" t="s">
        <v>164</v>
      </c>
      <c r="C146" s="292"/>
      <c r="D146" s="361"/>
      <c r="E146" s="361"/>
      <c r="F146" s="361"/>
      <c r="G146" s="361"/>
      <c r="H146" s="361"/>
      <c r="I146" s="361"/>
      <c r="J146" s="361"/>
      <c r="K146" s="365"/>
    </row>
    <row r="147" spans="1:11" ht="15.75">
      <c r="A147" s="368"/>
      <c r="B147" s="347" t="s">
        <v>174</v>
      </c>
      <c r="C147" s="348"/>
      <c r="D147" s="363"/>
      <c r="E147" s="363"/>
      <c r="F147" s="363"/>
      <c r="G147" s="363"/>
      <c r="H147" s="363"/>
      <c r="I147" s="363"/>
      <c r="J147" s="363"/>
      <c r="K147" s="366"/>
    </row>
    <row r="148" spans="1:11" ht="15.75">
      <c r="A148" s="367" t="s">
        <v>16</v>
      </c>
      <c r="B148" s="381" t="s">
        <v>18</v>
      </c>
      <c r="C148" s="382"/>
      <c r="D148" s="382"/>
      <c r="E148" s="382"/>
      <c r="F148" s="382"/>
      <c r="G148" s="382"/>
      <c r="H148" s="119"/>
      <c r="I148" s="119"/>
      <c r="J148" s="238"/>
      <c r="K148" s="113"/>
    </row>
    <row r="149" spans="1:11" ht="15.75">
      <c r="A149" s="380"/>
      <c r="B149" s="302" t="s">
        <v>138</v>
      </c>
      <c r="C149" s="292"/>
      <c r="D149" s="292"/>
      <c r="E149" s="292"/>
      <c r="F149" s="292"/>
      <c r="G149" s="292"/>
      <c r="H149" s="292" t="s">
        <v>659</v>
      </c>
      <c r="I149" s="292"/>
      <c r="J149" s="112"/>
      <c r="K149" s="113"/>
    </row>
    <row r="150" spans="1:11" ht="15.75">
      <c r="A150" s="380"/>
      <c r="B150" s="302" t="s">
        <v>61</v>
      </c>
      <c r="C150" s="292"/>
      <c r="D150" s="292"/>
      <c r="E150" s="292"/>
      <c r="F150" s="292"/>
      <c r="G150" s="292"/>
      <c r="H150" s="382" t="s">
        <v>264</v>
      </c>
      <c r="I150" s="292"/>
      <c r="J150" s="112"/>
      <c r="K150" s="113"/>
    </row>
    <row r="151" spans="1:11" ht="15.75">
      <c r="A151" s="380"/>
      <c r="B151" s="302" t="s">
        <v>61</v>
      </c>
      <c r="C151" s="292"/>
      <c r="D151" s="292"/>
      <c r="E151" s="292"/>
      <c r="F151" s="292"/>
      <c r="G151" s="292"/>
      <c r="H151" s="382" t="s">
        <v>265</v>
      </c>
      <c r="I151" s="292"/>
      <c r="J151" s="119"/>
      <c r="K151" s="27"/>
    </row>
    <row r="152" spans="1:11" ht="15.75">
      <c r="A152" s="380"/>
      <c r="B152" s="302" t="s">
        <v>651</v>
      </c>
      <c r="C152" s="292"/>
      <c r="D152" s="292"/>
      <c r="E152" s="292"/>
      <c r="F152" s="292"/>
      <c r="G152" s="292"/>
      <c r="H152" s="382" t="s">
        <v>652</v>
      </c>
      <c r="I152" s="292"/>
      <c r="J152" s="285"/>
      <c r="K152" s="27"/>
    </row>
    <row r="153" spans="1:11" ht="15.75" customHeight="1">
      <c r="A153" s="380"/>
      <c r="B153" s="302" t="s">
        <v>651</v>
      </c>
      <c r="C153" s="292"/>
      <c r="D153" s="292"/>
      <c r="E153" s="292"/>
      <c r="F153" s="292"/>
      <c r="G153" s="292"/>
      <c r="H153" s="382" t="s">
        <v>653</v>
      </c>
      <c r="I153" s="292"/>
      <c r="J153" s="285"/>
      <c r="K153" s="27"/>
    </row>
    <row r="154" spans="1:11" ht="15.75">
      <c r="A154" s="380"/>
      <c r="B154" s="302" t="s">
        <v>62</v>
      </c>
      <c r="C154" s="292"/>
      <c r="D154" s="292"/>
      <c r="E154" s="292"/>
      <c r="F154" s="292"/>
      <c r="G154" s="292"/>
      <c r="H154" s="292" t="s">
        <v>175</v>
      </c>
      <c r="I154" s="292"/>
      <c r="J154" s="119"/>
      <c r="K154" s="27"/>
    </row>
    <row r="155" spans="1:11" ht="15.75">
      <c r="A155" s="367" t="s">
        <v>17</v>
      </c>
      <c r="B155" s="369" t="s">
        <v>185</v>
      </c>
      <c r="C155" s="370"/>
      <c r="D155" s="370"/>
      <c r="E155" s="370"/>
      <c r="F155" s="370"/>
      <c r="G155" s="370"/>
      <c r="H155" s="370"/>
      <c r="I155" s="370"/>
      <c r="J155" s="370"/>
      <c r="K155" s="371"/>
    </row>
    <row r="156" spans="1:11" ht="15.75">
      <c r="A156" s="368"/>
      <c r="B156" s="372" t="s">
        <v>509</v>
      </c>
      <c r="C156" s="373"/>
      <c r="D156" s="373"/>
      <c r="E156" s="373"/>
      <c r="F156" s="373"/>
      <c r="G156" s="373"/>
      <c r="H156" s="373"/>
      <c r="I156" s="363"/>
      <c r="J156" s="363"/>
      <c r="K156" s="366"/>
    </row>
    <row r="157" spans="1:11" ht="15.75">
      <c r="A157" s="114" t="s">
        <v>76</v>
      </c>
      <c r="B157" s="339" t="s">
        <v>78</v>
      </c>
      <c r="C157" s="374"/>
      <c r="D157" s="374"/>
      <c r="E157" s="374"/>
      <c r="F157" s="374"/>
      <c r="G157" s="374"/>
      <c r="H157" s="374"/>
      <c r="I157" s="374"/>
      <c r="J157" s="374"/>
      <c r="K157" s="340"/>
    </row>
    <row r="158" spans="1:11" ht="15.75">
      <c r="A158" s="325" t="s">
        <v>19</v>
      </c>
      <c r="B158" s="339" t="s">
        <v>513</v>
      </c>
      <c r="C158" s="374"/>
      <c r="D158" s="374"/>
      <c r="E158" s="374"/>
      <c r="F158" s="340"/>
      <c r="G158" s="333" t="s">
        <v>181</v>
      </c>
      <c r="H158" s="339" t="s">
        <v>176</v>
      </c>
      <c r="I158" s="374"/>
      <c r="J158" s="374"/>
      <c r="K158" s="340"/>
    </row>
    <row r="159" spans="1:11" ht="15.75">
      <c r="A159" s="326"/>
      <c r="B159" s="364"/>
      <c r="C159" s="361"/>
      <c r="D159" s="376"/>
      <c r="E159" s="376"/>
      <c r="F159" s="365"/>
      <c r="G159" s="335"/>
      <c r="H159" s="302" t="s">
        <v>177</v>
      </c>
      <c r="I159" s="292"/>
      <c r="J159" s="292"/>
      <c r="K159" s="303"/>
    </row>
    <row r="160" spans="1:11" ht="108.75" customHeight="1">
      <c r="A160" s="375"/>
      <c r="B160" s="347" t="s">
        <v>70</v>
      </c>
      <c r="C160" s="348"/>
      <c r="D160" s="348"/>
      <c r="E160" s="348"/>
      <c r="F160" s="349"/>
      <c r="G160" s="337"/>
      <c r="H160" s="377" t="s">
        <v>178</v>
      </c>
      <c r="I160" s="378"/>
      <c r="J160" s="378"/>
      <c r="K160" s="379"/>
    </row>
    <row r="161" spans="1:11" ht="21">
      <c r="A161" s="9" t="s">
        <v>65</v>
      </c>
      <c r="B161" s="88"/>
      <c r="C161" s="88"/>
      <c r="D161" s="88"/>
      <c r="E161" s="88"/>
      <c r="F161" s="89"/>
      <c r="G161" s="89"/>
      <c r="H161" s="90"/>
      <c r="I161" s="90"/>
      <c r="J161" s="88"/>
      <c r="K161" s="88"/>
    </row>
    <row r="162" spans="1:11" ht="15.75">
      <c r="A162" s="325" t="s">
        <v>2</v>
      </c>
      <c r="B162" s="327" t="s">
        <v>457</v>
      </c>
      <c r="C162" s="328"/>
      <c r="D162" s="328"/>
      <c r="E162" s="328"/>
      <c r="F162" s="328"/>
      <c r="G162" s="329"/>
      <c r="H162" s="330" t="s">
        <v>71</v>
      </c>
      <c r="I162" s="330"/>
      <c r="J162" s="331" t="s">
        <v>73</v>
      </c>
      <c r="K162" s="332"/>
    </row>
    <row r="163" spans="1:11" ht="15.75" customHeight="1">
      <c r="A163" s="326"/>
      <c r="B163" s="302" t="s">
        <v>66</v>
      </c>
      <c r="C163" s="292"/>
      <c r="D163" s="292"/>
      <c r="E163" s="292"/>
      <c r="F163" s="292"/>
      <c r="G163" s="303"/>
      <c r="H163" s="330" t="s">
        <v>72</v>
      </c>
      <c r="I163" s="330"/>
      <c r="J163" s="339" t="s">
        <v>458</v>
      </c>
      <c r="K163" s="340"/>
    </row>
    <row r="164" spans="1:11" ht="15.95" customHeight="1">
      <c r="A164" s="326"/>
      <c r="B164" s="302" t="s">
        <v>67</v>
      </c>
      <c r="C164" s="292"/>
      <c r="D164" s="292"/>
      <c r="E164" s="292"/>
      <c r="F164" s="292"/>
      <c r="G164" s="303"/>
      <c r="H164" s="361"/>
      <c r="I164" s="361"/>
      <c r="J164" s="364"/>
      <c r="K164" s="365"/>
    </row>
    <row r="165" spans="1:11" ht="15.75">
      <c r="A165" s="326"/>
      <c r="B165" s="302" t="s">
        <v>315</v>
      </c>
      <c r="C165" s="292"/>
      <c r="D165" s="292"/>
      <c r="E165" s="292"/>
      <c r="F165" s="292"/>
      <c r="G165" s="292"/>
      <c r="H165" s="362"/>
      <c r="I165" s="363"/>
      <c r="J165" s="362"/>
      <c r="K165" s="366"/>
    </row>
    <row r="166" spans="1:11" ht="15.75">
      <c r="A166" s="326"/>
      <c r="B166" s="302" t="s">
        <v>301</v>
      </c>
      <c r="C166" s="292"/>
      <c r="D166" s="292"/>
      <c r="E166" s="292"/>
      <c r="F166" s="292"/>
      <c r="G166" s="303"/>
      <c r="H166" s="333" t="s">
        <v>10</v>
      </c>
      <c r="I166" s="334"/>
      <c r="J166" s="339" t="s">
        <v>69</v>
      </c>
      <c r="K166" s="340"/>
    </row>
    <row r="167" spans="1:11" ht="15.75" customHeight="1">
      <c r="A167" s="326"/>
      <c r="B167" s="302" t="s">
        <v>512</v>
      </c>
      <c r="C167" s="292"/>
      <c r="D167" s="292"/>
      <c r="E167" s="292"/>
      <c r="F167" s="292"/>
      <c r="G167" s="292"/>
      <c r="H167" s="335"/>
      <c r="I167" s="336"/>
      <c r="J167" s="302" t="s">
        <v>223</v>
      </c>
      <c r="K167" s="303"/>
    </row>
    <row r="168" spans="1:11" ht="15.75" customHeight="1">
      <c r="A168" s="326"/>
      <c r="B168" s="302" t="s">
        <v>310</v>
      </c>
      <c r="C168" s="292"/>
      <c r="D168" s="292"/>
      <c r="E168" s="292"/>
      <c r="F168" s="292"/>
      <c r="G168" s="292"/>
      <c r="H168" s="335"/>
      <c r="I168" s="336"/>
      <c r="J168" s="302"/>
      <c r="K168" s="303"/>
    </row>
    <row r="169" spans="1:11" ht="15.75" customHeight="1">
      <c r="A169" s="326"/>
      <c r="B169" s="302" t="s">
        <v>215</v>
      </c>
      <c r="C169" s="292"/>
      <c r="D169" s="292"/>
      <c r="E169" s="292"/>
      <c r="F169" s="292"/>
      <c r="G169" s="292"/>
      <c r="H169" s="335"/>
      <c r="I169" s="336"/>
      <c r="J169" s="302"/>
      <c r="K169" s="303"/>
    </row>
    <row r="170" spans="1:11" ht="15.75" customHeight="1">
      <c r="A170" s="326"/>
      <c r="B170" s="322" t="s">
        <v>87</v>
      </c>
      <c r="C170" s="323"/>
      <c r="D170" s="323"/>
      <c r="E170" s="323"/>
      <c r="F170" s="323"/>
      <c r="G170" s="324"/>
      <c r="H170" s="337"/>
      <c r="I170" s="338"/>
      <c r="J170" s="347"/>
      <c r="K170" s="349"/>
    </row>
    <row r="171" spans="1:11" ht="15.75">
      <c r="A171" s="345" t="s">
        <v>180</v>
      </c>
      <c r="B171" s="292" t="s">
        <v>311</v>
      </c>
      <c r="C171" s="292"/>
      <c r="D171" s="292"/>
      <c r="E171" s="292"/>
      <c r="F171" s="292"/>
      <c r="G171" s="292"/>
      <c r="H171" s="302" t="s">
        <v>655</v>
      </c>
      <c r="I171" s="292"/>
      <c r="J171" s="292"/>
      <c r="K171" s="303"/>
    </row>
    <row r="172" spans="1:11" ht="15.75">
      <c r="A172" s="346"/>
      <c r="B172" s="292" t="s">
        <v>312</v>
      </c>
      <c r="C172" s="292"/>
      <c r="D172" s="292"/>
      <c r="E172" s="292"/>
      <c r="F172" s="292"/>
      <c r="G172" s="292"/>
      <c r="H172" s="302"/>
      <c r="I172" s="292"/>
      <c r="J172" s="292"/>
      <c r="K172" s="303"/>
    </row>
    <row r="173" spans="1:11" ht="15.75">
      <c r="A173" s="346"/>
      <c r="B173" s="302" t="s">
        <v>313</v>
      </c>
      <c r="C173" s="292"/>
      <c r="D173" s="292"/>
      <c r="E173" s="292"/>
      <c r="F173" s="292"/>
      <c r="G173" s="303"/>
      <c r="H173" s="302"/>
      <c r="I173" s="292"/>
      <c r="J173" s="292"/>
      <c r="K173" s="303"/>
    </row>
    <row r="174" spans="1:11" ht="15.75">
      <c r="A174" s="115"/>
      <c r="B174" s="302" t="s">
        <v>314</v>
      </c>
      <c r="C174" s="292"/>
      <c r="D174" s="292"/>
      <c r="E174" s="292"/>
      <c r="F174" s="292"/>
      <c r="G174" s="303"/>
      <c r="H174" s="302"/>
      <c r="I174" s="292"/>
      <c r="J174" s="292"/>
      <c r="K174" s="303"/>
    </row>
    <row r="175" spans="1:11" ht="21" customHeight="1">
      <c r="A175" s="115"/>
      <c r="B175" s="302" t="s">
        <v>527</v>
      </c>
      <c r="C175" s="292"/>
      <c r="D175" s="292"/>
      <c r="E175" s="292"/>
      <c r="F175" s="292"/>
      <c r="G175" s="303"/>
      <c r="H175" s="302"/>
      <c r="I175" s="292"/>
      <c r="J175" s="292"/>
      <c r="K175" s="303"/>
    </row>
    <row r="176" spans="1:11" ht="82.5" customHeight="1">
      <c r="A176" s="346"/>
      <c r="B176" s="304"/>
      <c r="C176" s="305"/>
      <c r="D176" s="305"/>
      <c r="E176" s="305"/>
      <c r="F176" s="305"/>
      <c r="G176" s="306"/>
      <c r="H176" s="347"/>
      <c r="I176" s="348"/>
      <c r="J176" s="348"/>
      <c r="K176" s="349"/>
    </row>
    <row r="177" spans="1:11" ht="131.25" customHeight="1">
      <c r="A177" s="346"/>
      <c r="B177" s="304"/>
      <c r="C177" s="305"/>
      <c r="D177" s="305"/>
      <c r="E177" s="305"/>
      <c r="F177" s="305"/>
      <c r="G177" s="306"/>
      <c r="H177" s="354" t="s">
        <v>526</v>
      </c>
      <c r="I177" s="355"/>
      <c r="J177" s="355"/>
      <c r="K177" s="355"/>
    </row>
    <row r="178" spans="1:11" ht="51.75" customHeight="1">
      <c r="A178" s="350"/>
      <c r="B178" s="304"/>
      <c r="C178" s="305"/>
      <c r="D178" s="305"/>
      <c r="E178" s="305"/>
      <c r="F178" s="305"/>
      <c r="G178" s="306"/>
      <c r="H178" s="354" t="s">
        <v>462</v>
      </c>
      <c r="I178" s="355"/>
      <c r="J178" s="355"/>
      <c r="K178" s="355"/>
    </row>
    <row r="179" spans="1:11" ht="33.75" customHeight="1">
      <c r="A179" s="350"/>
      <c r="B179" s="304"/>
      <c r="C179" s="305"/>
      <c r="D179" s="305"/>
      <c r="E179" s="305"/>
      <c r="F179" s="305"/>
      <c r="G179" s="306"/>
      <c r="H179" s="318" t="s">
        <v>459</v>
      </c>
      <c r="I179" s="319"/>
      <c r="J179" s="318" t="s">
        <v>460</v>
      </c>
      <c r="K179" s="319"/>
    </row>
    <row r="180" spans="1:11" ht="16.5" customHeight="1">
      <c r="A180" s="350"/>
      <c r="B180" s="304"/>
      <c r="C180" s="305"/>
      <c r="D180" s="305"/>
      <c r="E180" s="305"/>
      <c r="F180" s="305"/>
      <c r="G180" s="306"/>
      <c r="H180" s="320">
        <v>0.41666666666666669</v>
      </c>
      <c r="I180" s="321"/>
      <c r="J180" s="320">
        <v>0.39583333333333331</v>
      </c>
      <c r="K180" s="321"/>
    </row>
    <row r="181" spans="1:11" ht="16.5" customHeight="1">
      <c r="A181" s="350"/>
      <c r="B181" s="304"/>
      <c r="C181" s="305"/>
      <c r="D181" s="305"/>
      <c r="E181" s="305"/>
      <c r="F181" s="305"/>
      <c r="G181" s="306"/>
      <c r="H181" s="320">
        <v>0.45833333333333331</v>
      </c>
      <c r="I181" s="321"/>
      <c r="J181" s="320">
        <v>0.4375</v>
      </c>
      <c r="K181" s="321"/>
    </row>
    <row r="182" spans="1:11" ht="16.5" customHeight="1">
      <c r="A182" s="350"/>
      <c r="B182" s="304"/>
      <c r="C182" s="305"/>
      <c r="D182" s="305"/>
      <c r="E182" s="305"/>
      <c r="F182" s="305"/>
      <c r="G182" s="306"/>
      <c r="H182" s="320">
        <v>0.5</v>
      </c>
      <c r="I182" s="321"/>
      <c r="J182" s="320">
        <v>0.47916666666666669</v>
      </c>
      <c r="K182" s="321"/>
    </row>
    <row r="183" spans="1:11" ht="16.5" customHeight="1">
      <c r="A183" s="350"/>
      <c r="B183" s="304"/>
      <c r="C183" s="305"/>
      <c r="D183" s="305"/>
      <c r="E183" s="305"/>
      <c r="F183" s="305"/>
      <c r="G183" s="306"/>
      <c r="H183" s="320">
        <v>0.54166666666666663</v>
      </c>
      <c r="I183" s="321"/>
      <c r="J183" s="320"/>
      <c r="K183" s="321"/>
    </row>
    <row r="184" spans="1:11" ht="16.5" customHeight="1">
      <c r="A184" s="350"/>
      <c r="B184" s="304"/>
      <c r="C184" s="305"/>
      <c r="D184" s="305"/>
      <c r="E184" s="305"/>
      <c r="F184" s="305"/>
      <c r="G184" s="306"/>
      <c r="H184" s="320">
        <v>0.58333333333333337</v>
      </c>
      <c r="I184" s="321"/>
      <c r="J184" s="320"/>
      <c r="K184" s="321"/>
    </row>
    <row r="185" spans="1:11" ht="16.5" customHeight="1">
      <c r="A185" s="350"/>
      <c r="B185" s="304"/>
      <c r="C185" s="305"/>
      <c r="D185" s="305"/>
      <c r="E185" s="305"/>
      <c r="F185" s="305"/>
      <c r="G185" s="306"/>
      <c r="H185" s="320">
        <v>0.625</v>
      </c>
      <c r="I185" s="321"/>
      <c r="J185" s="320"/>
      <c r="K185" s="321"/>
    </row>
    <row r="186" spans="1:11" ht="16.5" customHeight="1">
      <c r="A186" s="351"/>
      <c r="B186" s="307"/>
      <c r="C186" s="308"/>
      <c r="D186" s="308"/>
      <c r="E186" s="308"/>
      <c r="F186" s="308"/>
      <c r="G186" s="309"/>
      <c r="H186" s="320">
        <v>0.66666666666666663</v>
      </c>
      <c r="I186" s="321"/>
      <c r="J186" s="320"/>
      <c r="K186" s="321"/>
    </row>
    <row r="187" spans="1:11" ht="16.5" customHeight="1">
      <c r="A187" s="358" t="s">
        <v>515</v>
      </c>
      <c r="B187" s="292" t="s">
        <v>517</v>
      </c>
      <c r="C187" s="292"/>
      <c r="D187" s="292"/>
      <c r="E187" s="292"/>
      <c r="F187" s="292"/>
      <c r="G187" s="292"/>
      <c r="H187" s="293" t="s">
        <v>656</v>
      </c>
      <c r="I187" s="294"/>
      <c r="J187" s="294"/>
      <c r="K187" s="295"/>
    </row>
    <row r="188" spans="1:11" ht="16.5" customHeight="1">
      <c r="A188" s="359"/>
      <c r="B188" s="292" t="s">
        <v>516</v>
      </c>
      <c r="C188" s="292"/>
      <c r="D188" s="292"/>
      <c r="E188" s="292"/>
      <c r="F188" s="292"/>
      <c r="G188" s="292"/>
      <c r="H188" s="296"/>
      <c r="I188" s="297"/>
      <c r="J188" s="297"/>
      <c r="K188" s="298"/>
    </row>
    <row r="189" spans="1:11" ht="72" customHeight="1">
      <c r="A189" s="360"/>
      <c r="B189" s="292" t="s">
        <v>518</v>
      </c>
      <c r="C189" s="292"/>
      <c r="D189" s="292"/>
      <c r="E189" s="292"/>
      <c r="F189" s="292"/>
      <c r="G189" s="292"/>
      <c r="H189" s="299"/>
      <c r="I189" s="300"/>
      <c r="J189" s="300"/>
      <c r="K189" s="301"/>
    </row>
    <row r="190" spans="1:11" ht="84.75" customHeight="1">
      <c r="A190" s="118" t="s">
        <v>196</v>
      </c>
      <c r="B190" s="352" t="s">
        <v>302</v>
      </c>
      <c r="C190" s="353"/>
      <c r="D190" s="353"/>
      <c r="E190" s="353"/>
      <c r="F190" s="353"/>
      <c r="G190" s="353"/>
      <c r="H190" s="354" t="s">
        <v>519</v>
      </c>
      <c r="I190" s="355"/>
      <c r="J190" s="355"/>
      <c r="K190" s="355"/>
    </row>
    <row r="191" spans="1:11" ht="192.75" customHeight="1">
      <c r="A191" s="118" t="s">
        <v>506</v>
      </c>
      <c r="B191" s="352" t="s">
        <v>507</v>
      </c>
      <c r="C191" s="353"/>
      <c r="D191" s="353"/>
      <c r="E191" s="353"/>
      <c r="F191" s="353"/>
      <c r="G191" s="353"/>
      <c r="H191" s="356" t="s">
        <v>258</v>
      </c>
      <c r="I191" s="357"/>
      <c r="J191" s="357"/>
      <c r="K191" s="357"/>
    </row>
    <row r="192" spans="1:11" ht="18.75" customHeight="1">
      <c r="A192" s="122" t="s">
        <v>75</v>
      </c>
      <c r="B192" s="341" t="s">
        <v>79</v>
      </c>
      <c r="C192" s="342"/>
      <c r="D192" s="342"/>
      <c r="E192" s="342"/>
      <c r="F192" s="342"/>
      <c r="G192" s="342"/>
      <c r="H192" s="343"/>
      <c r="I192" s="343"/>
      <c r="J192" s="343"/>
      <c r="K192" s="344"/>
    </row>
    <row r="193" spans="1:11" ht="18.75" customHeight="1">
      <c r="A193" s="228" t="s">
        <v>483</v>
      </c>
      <c r="B193" s="341" t="s">
        <v>74</v>
      </c>
      <c r="C193" s="343"/>
      <c r="D193" s="343"/>
      <c r="E193" s="343"/>
      <c r="F193" s="343"/>
      <c r="G193" s="343"/>
      <c r="H193" s="343"/>
      <c r="I193" s="343"/>
      <c r="J193" s="343"/>
      <c r="K193" s="344"/>
    </row>
    <row r="194" spans="1:11" ht="34.5" customHeight="1">
      <c r="A194" s="122" t="s">
        <v>13</v>
      </c>
      <c r="B194" s="341" t="s">
        <v>183</v>
      </c>
      <c r="C194" s="342"/>
      <c r="D194" s="342"/>
      <c r="E194" s="342"/>
      <c r="F194" s="342"/>
      <c r="G194" s="342"/>
      <c r="H194" s="343"/>
      <c r="I194" s="343"/>
      <c r="J194" s="343"/>
      <c r="K194" s="344"/>
    </row>
    <row r="195" spans="1:11">
      <c r="F195" s="3"/>
      <c r="G195" s="3"/>
      <c r="H195" s="3"/>
      <c r="I195" s="3"/>
    </row>
    <row r="196" spans="1:11">
      <c r="F196" s="3"/>
      <c r="G196" s="3"/>
      <c r="H196" s="3"/>
      <c r="I196" s="3"/>
    </row>
    <row r="197" spans="1:11">
      <c r="F197" s="3"/>
      <c r="G197" s="3"/>
      <c r="H197" s="3"/>
      <c r="I197" s="3"/>
    </row>
    <row r="198" spans="1:11">
      <c r="F198" s="3"/>
      <c r="G198" s="3"/>
      <c r="H198" s="3"/>
      <c r="I198" s="3"/>
    </row>
    <row r="199" spans="1:11">
      <c r="F199" s="3"/>
      <c r="G199" s="3"/>
      <c r="H199" s="3"/>
      <c r="I199" s="3"/>
    </row>
    <row r="200" spans="1:11">
      <c r="F200" s="3"/>
      <c r="G200" s="1"/>
      <c r="H200" s="3"/>
      <c r="I200" s="3"/>
    </row>
    <row r="201" spans="1:11">
      <c r="F201" s="3"/>
      <c r="G201" s="1"/>
      <c r="H201" s="3"/>
      <c r="I201" s="3"/>
    </row>
    <row r="202" spans="1:11">
      <c r="F202" s="3"/>
      <c r="G202" s="1"/>
      <c r="H202" s="3"/>
      <c r="I202" s="3"/>
    </row>
    <row r="203" spans="1:11">
      <c r="F203" s="3"/>
      <c r="G203" s="1"/>
      <c r="H203" s="3"/>
      <c r="I203" s="3"/>
    </row>
    <row r="204" spans="1:11">
      <c r="F204" s="3"/>
      <c r="G204" s="1"/>
      <c r="H204" s="3"/>
      <c r="I204" s="3"/>
    </row>
    <row r="205" spans="1:11">
      <c r="F205" s="3"/>
      <c r="G205" s="1"/>
      <c r="H205" s="3"/>
      <c r="I205" s="3"/>
    </row>
    <row r="206" spans="1:11">
      <c r="F206" s="3"/>
      <c r="G206" s="3"/>
      <c r="H206" s="3"/>
      <c r="I206" s="3"/>
    </row>
    <row r="207" spans="1:11">
      <c r="F207" s="3"/>
      <c r="G207" s="3"/>
      <c r="H207" s="3"/>
      <c r="I207" s="3"/>
    </row>
    <row r="208" spans="1:11">
      <c r="F208" s="3"/>
      <c r="G208" s="3"/>
      <c r="H208" s="3"/>
      <c r="I208" s="3"/>
    </row>
    <row r="209" spans="6:9">
      <c r="F209" s="3"/>
      <c r="G209" s="3"/>
      <c r="H209" s="3"/>
      <c r="I209" s="3"/>
    </row>
    <row r="210" spans="6:9">
      <c r="F210" s="3"/>
      <c r="G210" s="3"/>
      <c r="H210" s="3"/>
      <c r="I210" s="3"/>
    </row>
    <row r="211" spans="6:9">
      <c r="F211" s="3"/>
      <c r="G211" s="3"/>
      <c r="H211" s="3"/>
      <c r="I211" s="3"/>
    </row>
    <row r="212" spans="6:9">
      <c r="F212" s="3"/>
      <c r="G212" s="3"/>
      <c r="H212" s="3"/>
      <c r="I212" s="3"/>
    </row>
    <row r="213" spans="6:9">
      <c r="F213" s="3"/>
      <c r="G213" s="3"/>
      <c r="H213" s="3"/>
      <c r="I213" s="3"/>
    </row>
    <row r="214" spans="6:9">
      <c r="F214" s="3"/>
      <c r="G214" s="3"/>
      <c r="H214" s="3"/>
      <c r="I214" s="3"/>
    </row>
    <row r="215" spans="6:9">
      <c r="F215" s="3"/>
      <c r="G215" s="1"/>
      <c r="H215" s="3"/>
      <c r="I215" s="3"/>
    </row>
    <row r="216" spans="6:9">
      <c r="F216" s="3"/>
      <c r="G216" s="1"/>
      <c r="H216" s="3"/>
      <c r="I216" s="3"/>
    </row>
    <row r="217" spans="6:9">
      <c r="F217" s="3"/>
      <c r="G217" s="1"/>
      <c r="H217" s="3"/>
      <c r="I217" s="3"/>
    </row>
    <row r="218" spans="6:9">
      <c r="F218" s="3"/>
      <c r="G218" s="1"/>
      <c r="H218" s="3"/>
      <c r="I218" s="3"/>
    </row>
    <row r="219" spans="6:9">
      <c r="F219" s="3"/>
      <c r="G219" s="1"/>
      <c r="H219" s="3"/>
      <c r="I219" s="3"/>
    </row>
    <row r="220" spans="6:9">
      <c r="F220" s="3"/>
      <c r="G220" s="1"/>
      <c r="H220" s="3"/>
      <c r="I220" s="3"/>
    </row>
    <row r="221" spans="6:9">
      <c r="F221" s="3"/>
      <c r="G221" s="3"/>
      <c r="H221" s="3"/>
      <c r="I221" s="3"/>
    </row>
    <row r="222" spans="6:9">
      <c r="F222" s="3"/>
      <c r="G222" s="3"/>
      <c r="H222" s="3"/>
      <c r="I222" s="3"/>
    </row>
    <row r="223" spans="6:9">
      <c r="F223" s="3"/>
      <c r="G223" s="3"/>
      <c r="H223" s="3"/>
      <c r="I223" s="3"/>
    </row>
    <row r="224" spans="6:9">
      <c r="F224" s="3"/>
      <c r="G224" s="3"/>
      <c r="H224" s="3"/>
      <c r="I224" s="3"/>
    </row>
    <row r="225" spans="6:9">
      <c r="F225" s="3"/>
      <c r="G225" s="3"/>
      <c r="H225" s="3"/>
      <c r="I225" s="3"/>
    </row>
    <row r="226" spans="6:9">
      <c r="F226" s="3"/>
      <c r="G226" s="3"/>
      <c r="H226" s="3"/>
      <c r="I226" s="3"/>
    </row>
    <row r="227" spans="6:9">
      <c r="F227" s="3"/>
      <c r="G227" s="3"/>
      <c r="H227" s="3"/>
      <c r="I227" s="3"/>
    </row>
    <row r="228" spans="6:9">
      <c r="F228" s="3"/>
      <c r="G228" s="3"/>
      <c r="H228" s="3"/>
      <c r="I228" s="3"/>
    </row>
    <row r="229" spans="6:9">
      <c r="F229" s="3"/>
      <c r="G229" s="3"/>
      <c r="H229" s="3"/>
      <c r="I229" s="3"/>
    </row>
    <row r="230" spans="6:9">
      <c r="F230" s="3"/>
      <c r="G230" s="1"/>
      <c r="H230" s="3"/>
      <c r="I230" s="3"/>
    </row>
    <row r="231" spans="6:9">
      <c r="F231" s="3"/>
      <c r="G231" s="1"/>
      <c r="H231" s="3"/>
      <c r="I231" s="3"/>
    </row>
    <row r="232" spans="6:9">
      <c r="F232" s="3"/>
      <c r="G232" s="1"/>
      <c r="H232" s="3"/>
      <c r="I232" s="3"/>
    </row>
    <row r="233" spans="6:9">
      <c r="F233" s="3"/>
      <c r="G233" s="1"/>
      <c r="H233" s="3"/>
      <c r="I233" s="3"/>
    </row>
    <row r="234" spans="6:9">
      <c r="F234" s="3"/>
      <c r="G234" s="1"/>
      <c r="H234" s="3"/>
      <c r="I234" s="3"/>
    </row>
    <row r="235" spans="6:9">
      <c r="F235" s="3"/>
      <c r="G235" s="1"/>
      <c r="H235" s="3"/>
      <c r="I235" s="3"/>
    </row>
    <row r="236" spans="6:9">
      <c r="F236" s="3"/>
      <c r="G236" s="3"/>
      <c r="H236" s="3"/>
      <c r="I236" s="3"/>
    </row>
    <row r="237" spans="6:9">
      <c r="F237" s="3"/>
      <c r="G237" s="3"/>
      <c r="H237" s="3"/>
      <c r="I237" s="3"/>
    </row>
    <row r="238" spans="6:9">
      <c r="F238" s="3"/>
      <c r="G238" s="3"/>
      <c r="H238" s="3"/>
      <c r="I238" s="3"/>
    </row>
    <row r="239" spans="6:9">
      <c r="F239" s="3"/>
      <c r="G239" s="3"/>
      <c r="H239" s="3"/>
      <c r="I239" s="3"/>
    </row>
    <row r="240" spans="6:9">
      <c r="F240" s="3"/>
      <c r="G240" s="3"/>
      <c r="H240" s="3"/>
      <c r="I240" s="3"/>
    </row>
    <row r="241" spans="6:9">
      <c r="F241" s="3"/>
      <c r="G241" s="3"/>
      <c r="H241" s="3"/>
      <c r="I241" s="3"/>
    </row>
    <row r="242" spans="6:9">
      <c r="F242" s="3"/>
      <c r="G242" s="3"/>
      <c r="H242" s="3"/>
      <c r="I242" s="3"/>
    </row>
    <row r="243" spans="6:9">
      <c r="F243" s="3"/>
      <c r="G243" s="3"/>
      <c r="H243" s="3"/>
      <c r="I243" s="3"/>
    </row>
    <row r="244" spans="6:9">
      <c r="F244" s="3"/>
      <c r="G244" s="3"/>
      <c r="H244" s="3"/>
      <c r="I244" s="3"/>
    </row>
    <row r="245" spans="6:9">
      <c r="F245" s="3"/>
      <c r="G245" s="3"/>
      <c r="H245" s="3"/>
      <c r="I245" s="3"/>
    </row>
    <row r="246" spans="6:9">
      <c r="F246" s="3"/>
      <c r="G246" s="3"/>
      <c r="H246" s="3"/>
      <c r="I246" s="3"/>
    </row>
    <row r="247" spans="6:9">
      <c r="F247" s="3"/>
      <c r="G247" s="3"/>
      <c r="H247" s="3"/>
      <c r="I247" s="3"/>
    </row>
    <row r="248" spans="6:9">
      <c r="F248" s="3"/>
      <c r="G248" s="1"/>
      <c r="H248" s="3"/>
      <c r="I248" s="3"/>
    </row>
    <row r="249" spans="6:9">
      <c r="F249" s="3"/>
      <c r="G249" s="1"/>
      <c r="H249" s="3"/>
      <c r="I249" s="3"/>
    </row>
    <row r="250" spans="6:9">
      <c r="F250" s="3"/>
      <c r="G250" s="1"/>
      <c r="H250" s="3"/>
      <c r="I250" s="3"/>
    </row>
    <row r="251" spans="6:9">
      <c r="F251" s="3"/>
      <c r="G251" s="1"/>
      <c r="H251" s="3"/>
      <c r="I251" s="3"/>
    </row>
    <row r="252" spans="6:9">
      <c r="F252" s="3"/>
      <c r="G252" s="1"/>
      <c r="H252" s="3"/>
      <c r="I252" s="3"/>
    </row>
    <row r="253" spans="6:9">
      <c r="F253" s="3"/>
      <c r="G253" s="1"/>
      <c r="H253" s="3"/>
      <c r="I253" s="3"/>
    </row>
    <row r="254" spans="6:9">
      <c r="F254" s="3"/>
      <c r="G254" s="3"/>
      <c r="H254" s="3"/>
      <c r="I254" s="3"/>
    </row>
    <row r="255" spans="6:9">
      <c r="F255" s="3"/>
      <c r="G255" s="3"/>
      <c r="H255" s="3"/>
      <c r="I255" s="3"/>
    </row>
    <row r="256" spans="6:9">
      <c r="F256" s="3"/>
      <c r="G256" s="3"/>
      <c r="H256" s="3"/>
      <c r="I256" s="3"/>
    </row>
    <row r="257" spans="6:9">
      <c r="F257" s="3"/>
      <c r="G257" s="3"/>
      <c r="H257" s="3"/>
      <c r="I257" s="3"/>
    </row>
    <row r="258" spans="6:9">
      <c r="F258" s="3"/>
      <c r="G258" s="3"/>
      <c r="H258" s="3"/>
      <c r="I258" s="3"/>
    </row>
    <row r="259" spans="6:9">
      <c r="F259" s="3"/>
      <c r="G259" s="3"/>
      <c r="H259" s="3"/>
      <c r="I259" s="3"/>
    </row>
    <row r="260" spans="6:9">
      <c r="F260" s="3"/>
      <c r="G260" s="3"/>
      <c r="H260" s="3"/>
      <c r="I260" s="3"/>
    </row>
    <row r="261" spans="6:9">
      <c r="F261" s="3"/>
      <c r="G261" s="3"/>
      <c r="H261" s="3"/>
      <c r="I261" s="3"/>
    </row>
    <row r="262" spans="6:9">
      <c r="F262" s="3"/>
      <c r="G262" s="3"/>
      <c r="H262" s="3"/>
      <c r="I262" s="3"/>
    </row>
    <row r="263" spans="6:9">
      <c r="F263" s="3"/>
      <c r="G263" s="1"/>
      <c r="H263" s="3"/>
      <c r="I263" s="3"/>
    </row>
    <row r="264" spans="6:9">
      <c r="F264" s="3"/>
      <c r="G264" s="1"/>
      <c r="H264" s="3"/>
      <c r="I264" s="3"/>
    </row>
    <row r="265" spans="6:9">
      <c r="F265" s="3"/>
      <c r="G265" s="1"/>
      <c r="H265" s="3"/>
      <c r="I265" s="3"/>
    </row>
    <row r="266" spans="6:9">
      <c r="F266" s="3"/>
      <c r="G266" s="1"/>
      <c r="H266" s="3"/>
      <c r="I266" s="3"/>
    </row>
    <row r="267" spans="6:9">
      <c r="F267" s="3"/>
      <c r="G267" s="1"/>
      <c r="H267" s="3"/>
      <c r="I267" s="3"/>
    </row>
    <row r="268" spans="6:9">
      <c r="F268" s="3"/>
      <c r="G268" s="1"/>
      <c r="H268" s="3"/>
      <c r="I268" s="3"/>
    </row>
    <row r="269" spans="6:9">
      <c r="F269" s="3"/>
      <c r="G269" s="3"/>
      <c r="H269" s="3"/>
      <c r="I269" s="3"/>
    </row>
    <row r="270" spans="6:9">
      <c r="F270" s="3"/>
      <c r="G270" s="3"/>
      <c r="H270" s="3"/>
      <c r="I270" s="3"/>
    </row>
    <row r="271" spans="6:9">
      <c r="F271" s="3"/>
      <c r="G271" s="3"/>
      <c r="H271" s="3"/>
      <c r="I271" s="3"/>
    </row>
    <row r="272" spans="6:9">
      <c r="F272" s="3"/>
      <c r="G272" s="3"/>
      <c r="H272" s="3"/>
      <c r="I272" s="3"/>
    </row>
    <row r="273" spans="6:9">
      <c r="F273" s="3"/>
      <c r="G273" s="3"/>
      <c r="H273" s="3"/>
      <c r="I273" s="3"/>
    </row>
    <row r="274" spans="6:9">
      <c r="F274" s="3"/>
      <c r="G274" s="3"/>
      <c r="H274" s="3"/>
      <c r="I274" s="3"/>
    </row>
    <row r="275" spans="6:9">
      <c r="F275" s="3"/>
      <c r="G275" s="3"/>
      <c r="H275" s="3"/>
      <c r="I275" s="3"/>
    </row>
    <row r="276" spans="6:9">
      <c r="F276" s="3"/>
      <c r="G276" s="3"/>
      <c r="H276" s="3"/>
      <c r="I276" s="3"/>
    </row>
    <row r="277" spans="6:9">
      <c r="F277" s="3"/>
      <c r="G277" s="3"/>
      <c r="H277" s="3"/>
      <c r="I277" s="3"/>
    </row>
    <row r="278" spans="6:9">
      <c r="F278" s="3"/>
      <c r="G278" s="1"/>
      <c r="H278" s="3"/>
      <c r="I278" s="3"/>
    </row>
    <row r="279" spans="6:9">
      <c r="F279" s="3"/>
      <c r="G279" s="1"/>
      <c r="H279" s="3"/>
      <c r="I279" s="3"/>
    </row>
    <row r="280" spans="6:9">
      <c r="F280" s="3"/>
      <c r="G280" s="1"/>
      <c r="H280" s="3"/>
      <c r="I280" s="3"/>
    </row>
    <row r="281" spans="6:9">
      <c r="F281" s="3"/>
      <c r="G281" s="1"/>
      <c r="H281" s="3"/>
      <c r="I281" s="3"/>
    </row>
    <row r="282" spans="6:9">
      <c r="F282" s="3"/>
      <c r="G282" s="1"/>
      <c r="H282" s="3"/>
      <c r="I282" s="3"/>
    </row>
    <row r="283" spans="6:9">
      <c r="F283" s="3"/>
      <c r="G283" s="1"/>
      <c r="H283" s="3"/>
      <c r="I283" s="3"/>
    </row>
    <row r="284" spans="6:9">
      <c r="F284" s="3"/>
      <c r="G284" s="3"/>
      <c r="H284" s="3"/>
      <c r="I284" s="3"/>
    </row>
    <row r="285" spans="6:9">
      <c r="F285" s="3"/>
      <c r="G285" s="3"/>
      <c r="H285" s="3"/>
      <c r="I285" s="3"/>
    </row>
    <row r="286" spans="6:9">
      <c r="F286" s="3"/>
      <c r="G286" s="3"/>
      <c r="H286" s="3"/>
      <c r="I286" s="3"/>
    </row>
    <row r="287" spans="6:9">
      <c r="F287" s="3"/>
      <c r="G287" s="3"/>
      <c r="H287" s="3"/>
      <c r="I287" s="3"/>
    </row>
    <row r="288" spans="6:9">
      <c r="F288" s="3"/>
      <c r="G288" s="3"/>
      <c r="H288" s="3"/>
      <c r="I288" s="3"/>
    </row>
    <row r="289" spans="6:9">
      <c r="F289" s="3"/>
      <c r="G289" s="3"/>
      <c r="H289" s="3"/>
      <c r="I289" s="3"/>
    </row>
    <row r="290" spans="6:9">
      <c r="F290" s="3"/>
      <c r="G290" s="3"/>
      <c r="H290" s="3"/>
      <c r="I290" s="3"/>
    </row>
    <row r="291" spans="6:9">
      <c r="F291" s="3"/>
      <c r="G291" s="3"/>
      <c r="H291" s="3"/>
      <c r="I291" s="3"/>
    </row>
    <row r="292" spans="6:9">
      <c r="F292" s="3"/>
      <c r="G292" s="3"/>
      <c r="H292" s="3"/>
      <c r="I292" s="3"/>
    </row>
    <row r="293" spans="6:9">
      <c r="F293" s="3"/>
      <c r="G293" s="3"/>
      <c r="H293" s="3"/>
      <c r="I293" s="3"/>
    </row>
    <row r="294" spans="6:9">
      <c r="F294" s="3"/>
      <c r="G294" s="3"/>
      <c r="H294" s="3"/>
      <c r="I294" s="3"/>
    </row>
    <row r="295" spans="6:9">
      <c r="F295" s="3"/>
      <c r="G295" s="3"/>
      <c r="H295" s="3"/>
      <c r="I295" s="3"/>
    </row>
    <row r="296" spans="6:9">
      <c r="F296" s="3"/>
      <c r="G296" s="1"/>
      <c r="H296" s="3"/>
      <c r="I296" s="3"/>
    </row>
    <row r="297" spans="6:9">
      <c r="F297" s="3"/>
      <c r="G297" s="1"/>
      <c r="H297" s="3"/>
      <c r="I297" s="3"/>
    </row>
    <row r="298" spans="6:9">
      <c r="F298" s="3"/>
      <c r="G298" s="1"/>
      <c r="H298" s="3"/>
      <c r="I298" s="3"/>
    </row>
    <row r="299" spans="6:9">
      <c r="F299" s="3"/>
      <c r="G299" s="1"/>
      <c r="H299" s="3"/>
      <c r="I299" s="3"/>
    </row>
    <row r="300" spans="6:9">
      <c r="F300" s="3"/>
      <c r="G300" s="1"/>
      <c r="H300" s="3"/>
      <c r="I300" s="3"/>
    </row>
    <row r="301" spans="6:9">
      <c r="F301" s="3"/>
      <c r="G301" s="1"/>
      <c r="H301" s="3"/>
      <c r="I301" s="3"/>
    </row>
    <row r="302" spans="6:9">
      <c r="F302" s="3"/>
      <c r="G302" s="3"/>
      <c r="H302" s="3"/>
      <c r="I302" s="3"/>
    </row>
    <row r="303" spans="6:9">
      <c r="F303" s="3"/>
      <c r="G303" s="3"/>
      <c r="H303" s="3"/>
      <c r="I303" s="3"/>
    </row>
    <row r="304" spans="6:9">
      <c r="F304" s="3"/>
      <c r="G304" s="3"/>
      <c r="H304" s="3"/>
      <c r="I304" s="3"/>
    </row>
    <row r="305" spans="6:9">
      <c r="F305" s="3"/>
      <c r="G305" s="3"/>
      <c r="H305" s="3"/>
      <c r="I305" s="3"/>
    </row>
    <row r="306" spans="6:9">
      <c r="F306" s="3"/>
      <c r="G306" s="3"/>
      <c r="H306" s="3"/>
      <c r="I306" s="3"/>
    </row>
    <row r="307" spans="6:9">
      <c r="F307" s="3"/>
      <c r="G307" s="3"/>
      <c r="H307" s="3"/>
      <c r="I307" s="3"/>
    </row>
    <row r="308" spans="6:9">
      <c r="F308" s="3"/>
      <c r="G308" s="3"/>
      <c r="H308" s="3"/>
      <c r="I308" s="3"/>
    </row>
    <row r="309" spans="6:9">
      <c r="F309" s="3"/>
      <c r="G309" s="3"/>
      <c r="H309" s="3"/>
      <c r="I309" s="3"/>
    </row>
    <row r="310" spans="6:9">
      <c r="F310" s="3"/>
      <c r="G310" s="3"/>
      <c r="H310" s="3"/>
      <c r="I310" s="3"/>
    </row>
    <row r="311" spans="6:9">
      <c r="F311" s="3"/>
      <c r="G311" s="1"/>
      <c r="H311" s="3"/>
      <c r="I311" s="3"/>
    </row>
    <row r="312" spans="6:9">
      <c r="F312" s="3"/>
      <c r="G312" s="1"/>
      <c r="H312" s="3"/>
      <c r="I312" s="3"/>
    </row>
    <row r="313" spans="6:9">
      <c r="F313" s="3"/>
      <c r="G313" s="1"/>
      <c r="H313" s="3"/>
      <c r="I313" s="3"/>
    </row>
    <row r="314" spans="6:9">
      <c r="F314" s="3"/>
      <c r="G314" s="1"/>
      <c r="H314" s="3"/>
      <c r="I314" s="3"/>
    </row>
    <row r="315" spans="6:9">
      <c r="F315" s="3"/>
      <c r="G315" s="1"/>
      <c r="H315" s="3"/>
      <c r="I315" s="3"/>
    </row>
    <row r="316" spans="6:9">
      <c r="F316" s="3"/>
      <c r="G316" s="1"/>
      <c r="H316" s="3"/>
      <c r="I316" s="3"/>
    </row>
    <row r="317" spans="6:9">
      <c r="F317" s="3"/>
      <c r="G317" s="3"/>
      <c r="H317" s="3"/>
      <c r="I317" s="3"/>
    </row>
    <row r="318" spans="6:9">
      <c r="F318" s="3"/>
      <c r="G318" s="3"/>
      <c r="H318" s="3"/>
      <c r="I318" s="3"/>
    </row>
    <row r="319" spans="6:9">
      <c r="F319" s="3"/>
      <c r="G319" s="3"/>
      <c r="H319" s="3"/>
      <c r="I319" s="3"/>
    </row>
    <row r="320" spans="6:9">
      <c r="F320" s="3"/>
      <c r="G320" s="3"/>
      <c r="H320" s="3"/>
      <c r="I320" s="3"/>
    </row>
    <row r="321" spans="6:9">
      <c r="F321" s="3"/>
      <c r="G321" s="3"/>
      <c r="H321" s="3"/>
      <c r="I321" s="3"/>
    </row>
    <row r="322" spans="6:9">
      <c r="F322" s="3"/>
      <c r="G322" s="3"/>
      <c r="H322" s="3"/>
      <c r="I322" s="3"/>
    </row>
    <row r="323" spans="6:9">
      <c r="F323" s="3"/>
      <c r="G323" s="3"/>
      <c r="H323" s="3"/>
      <c r="I323" s="3"/>
    </row>
    <row r="324" spans="6:9">
      <c r="F324" s="3"/>
      <c r="G324" s="3"/>
      <c r="H324" s="3"/>
      <c r="I324" s="3"/>
    </row>
    <row r="325" spans="6:9">
      <c r="F325" s="3"/>
      <c r="G325" s="3"/>
      <c r="H325" s="3"/>
      <c r="I325" s="3"/>
    </row>
    <row r="326" spans="6:9">
      <c r="F326" s="3"/>
      <c r="G326" s="1"/>
      <c r="H326" s="3"/>
      <c r="I326" s="3"/>
    </row>
    <row r="327" spans="6:9">
      <c r="F327" s="3"/>
      <c r="G327" s="1"/>
      <c r="H327" s="3"/>
      <c r="I327" s="3"/>
    </row>
    <row r="328" spans="6:9">
      <c r="F328" s="3"/>
      <c r="G328" s="1"/>
      <c r="H328" s="3"/>
      <c r="I328" s="3"/>
    </row>
    <row r="329" spans="6:9">
      <c r="F329" s="3"/>
      <c r="G329" s="1"/>
      <c r="H329" s="3"/>
      <c r="I329" s="3"/>
    </row>
    <row r="330" spans="6:9">
      <c r="F330" s="3"/>
      <c r="G330" s="1"/>
      <c r="H330" s="3"/>
      <c r="I330" s="3"/>
    </row>
    <row r="331" spans="6:9">
      <c r="F331" s="3"/>
      <c r="G331" s="1"/>
      <c r="H331" s="3"/>
      <c r="I331" s="3"/>
    </row>
    <row r="332" spans="6:9">
      <c r="F332" s="3"/>
      <c r="G332" s="3"/>
      <c r="H332" s="3"/>
      <c r="I332" s="3"/>
    </row>
    <row r="333" spans="6:9">
      <c r="F333" s="3"/>
      <c r="G333" s="3"/>
      <c r="H333" s="3"/>
      <c r="I333" s="3"/>
    </row>
    <row r="334" spans="6:9">
      <c r="F334" s="3"/>
      <c r="G334" s="3"/>
      <c r="H334" s="3"/>
      <c r="I334" s="3"/>
    </row>
    <row r="335" spans="6:9">
      <c r="F335" s="3"/>
      <c r="G335" s="3"/>
      <c r="H335" s="3"/>
      <c r="I335" s="3"/>
    </row>
    <row r="336" spans="6:9">
      <c r="F336" s="3"/>
      <c r="G336" s="3"/>
      <c r="H336" s="3"/>
      <c r="I336" s="3"/>
    </row>
    <row r="337" spans="6:9">
      <c r="F337" s="3"/>
      <c r="G337" s="3"/>
      <c r="H337" s="3"/>
      <c r="I337" s="3"/>
    </row>
    <row r="338" spans="6:9">
      <c r="F338" s="3"/>
      <c r="G338" s="3"/>
      <c r="H338" s="3"/>
      <c r="I338" s="3"/>
    </row>
    <row r="339" spans="6:9">
      <c r="F339" s="3"/>
      <c r="G339" s="3"/>
      <c r="H339" s="3"/>
      <c r="I339" s="3"/>
    </row>
    <row r="340" spans="6:9">
      <c r="F340" s="3"/>
      <c r="G340" s="3"/>
      <c r="H340" s="3"/>
      <c r="I340" s="3"/>
    </row>
    <row r="341" spans="6:9">
      <c r="F341" s="3"/>
      <c r="G341" s="3"/>
      <c r="H341" s="3"/>
      <c r="I341" s="3"/>
    </row>
    <row r="342" spans="6:9">
      <c r="F342" s="3"/>
      <c r="G342" s="3"/>
      <c r="H342" s="3"/>
      <c r="I342" s="3"/>
    </row>
    <row r="343" spans="6:9">
      <c r="F343" s="3"/>
      <c r="G343" s="3"/>
      <c r="H343" s="3"/>
      <c r="I343" s="3"/>
    </row>
    <row r="344" spans="6:9">
      <c r="F344" s="3"/>
      <c r="G344" s="1"/>
      <c r="H344" s="3"/>
      <c r="I344" s="3"/>
    </row>
    <row r="345" spans="6:9">
      <c r="F345" s="3"/>
      <c r="G345" s="1"/>
      <c r="H345" s="3"/>
      <c r="I345" s="3"/>
    </row>
    <row r="346" spans="6:9">
      <c r="F346" s="3"/>
      <c r="G346" s="1"/>
      <c r="H346" s="3"/>
      <c r="I346" s="3"/>
    </row>
    <row r="347" spans="6:9">
      <c r="F347" s="3"/>
      <c r="G347" s="1"/>
      <c r="H347" s="3"/>
      <c r="I347" s="3"/>
    </row>
    <row r="348" spans="6:9">
      <c r="F348" s="3"/>
      <c r="G348" s="1"/>
      <c r="H348" s="3"/>
      <c r="I348" s="3"/>
    </row>
    <row r="349" spans="6:9">
      <c r="F349" s="3"/>
      <c r="G349" s="1"/>
      <c r="H349" s="3"/>
      <c r="I349" s="3"/>
    </row>
    <row r="350" spans="6:9">
      <c r="F350" s="3"/>
      <c r="G350" s="3"/>
      <c r="H350" s="3"/>
      <c r="I350" s="3"/>
    </row>
    <row r="351" spans="6:9">
      <c r="F351" s="3"/>
      <c r="G351" s="3"/>
      <c r="H351" s="3"/>
      <c r="I351" s="3"/>
    </row>
    <row r="352" spans="6:9">
      <c r="F352" s="3"/>
      <c r="G352" s="3"/>
      <c r="H352" s="3"/>
      <c r="I352" s="3"/>
    </row>
    <row r="353" spans="6:9">
      <c r="F353" s="3"/>
      <c r="G353" s="3"/>
      <c r="H353" s="3"/>
      <c r="I353" s="3"/>
    </row>
    <row r="354" spans="6:9">
      <c r="F354" s="3"/>
      <c r="G354" s="3"/>
      <c r="H354" s="3"/>
      <c r="I354" s="3"/>
    </row>
    <row r="355" spans="6:9">
      <c r="F355" s="3"/>
      <c r="G355" s="3"/>
      <c r="H355" s="3"/>
      <c r="I355" s="3"/>
    </row>
    <row r="356" spans="6:9">
      <c r="F356" s="3"/>
      <c r="G356" s="3"/>
      <c r="H356" s="3"/>
      <c r="I356" s="3"/>
    </row>
    <row r="357" spans="6:9">
      <c r="F357" s="3"/>
      <c r="G357" s="3"/>
      <c r="H357" s="3"/>
      <c r="I357" s="3"/>
    </row>
    <row r="358" spans="6:9">
      <c r="F358" s="3"/>
      <c r="G358" s="3"/>
      <c r="H358" s="3"/>
      <c r="I358" s="3"/>
    </row>
    <row r="359" spans="6:9">
      <c r="F359" s="3"/>
      <c r="G359" s="1"/>
      <c r="H359" s="3"/>
      <c r="I359" s="3"/>
    </row>
    <row r="360" spans="6:9">
      <c r="F360" s="3"/>
      <c r="G360" s="1"/>
      <c r="H360" s="3"/>
      <c r="I360" s="3"/>
    </row>
    <row r="361" spans="6:9">
      <c r="F361" s="3"/>
      <c r="G361" s="1"/>
      <c r="H361" s="3"/>
      <c r="I361" s="3"/>
    </row>
    <row r="362" spans="6:9">
      <c r="F362" s="3"/>
      <c r="G362" s="1"/>
      <c r="H362" s="3"/>
      <c r="I362" s="3"/>
    </row>
    <row r="363" spans="6:9">
      <c r="F363" s="3"/>
      <c r="G363" s="1"/>
      <c r="H363" s="3"/>
      <c r="I363" s="3"/>
    </row>
    <row r="364" spans="6:9">
      <c r="F364" s="3"/>
      <c r="G364" s="1"/>
      <c r="H364" s="3"/>
      <c r="I364" s="3"/>
    </row>
    <row r="365" spans="6:9">
      <c r="F365" s="3"/>
      <c r="G365" s="3"/>
      <c r="H365" s="3"/>
      <c r="I365" s="3"/>
    </row>
    <row r="366" spans="6:9">
      <c r="F366" s="3"/>
      <c r="G366" s="3"/>
      <c r="H366" s="3"/>
      <c r="I366" s="3"/>
    </row>
    <row r="367" spans="6:9">
      <c r="F367" s="3"/>
      <c r="G367" s="3"/>
      <c r="H367" s="3"/>
      <c r="I367" s="3"/>
    </row>
    <row r="368" spans="6:9">
      <c r="F368" s="3"/>
      <c r="G368" s="3"/>
      <c r="H368" s="3"/>
      <c r="I368" s="3"/>
    </row>
    <row r="369" spans="6:9">
      <c r="F369" s="3"/>
      <c r="G369" s="3"/>
      <c r="H369" s="3"/>
      <c r="I369" s="3"/>
    </row>
    <row r="370" spans="6:9">
      <c r="F370" s="3"/>
      <c r="G370" s="3"/>
      <c r="H370" s="3"/>
      <c r="I370" s="3"/>
    </row>
    <row r="371" spans="6:9">
      <c r="F371" s="3"/>
      <c r="G371" s="3"/>
      <c r="H371" s="3"/>
      <c r="I371" s="3"/>
    </row>
    <row r="372" spans="6:9">
      <c r="F372" s="3"/>
      <c r="G372" s="3"/>
      <c r="H372" s="3"/>
      <c r="I372" s="3"/>
    </row>
    <row r="373" spans="6:9">
      <c r="F373" s="3"/>
      <c r="G373" s="3"/>
      <c r="H373" s="3"/>
      <c r="I373" s="3"/>
    </row>
    <row r="374" spans="6:9">
      <c r="F374" s="3"/>
      <c r="G374" s="1"/>
      <c r="H374" s="3"/>
      <c r="I374" s="3"/>
    </row>
    <row r="375" spans="6:9">
      <c r="F375" s="3"/>
      <c r="G375" s="1"/>
      <c r="H375" s="3"/>
      <c r="I375" s="3"/>
    </row>
    <row r="376" spans="6:9">
      <c r="F376" s="3"/>
      <c r="G376" s="1"/>
      <c r="H376" s="3"/>
      <c r="I376" s="3"/>
    </row>
    <row r="377" spans="6:9">
      <c r="F377" s="3"/>
      <c r="G377" s="1"/>
      <c r="H377" s="3"/>
      <c r="I377" s="3"/>
    </row>
    <row r="378" spans="6:9">
      <c r="F378" s="3"/>
      <c r="G378" s="1"/>
      <c r="H378" s="3"/>
      <c r="I378" s="3"/>
    </row>
    <row r="379" spans="6:9">
      <c r="F379" s="3"/>
      <c r="G379" s="1"/>
      <c r="H379" s="3"/>
      <c r="I379" s="3"/>
    </row>
    <row r="380" spans="6:9">
      <c r="F380" s="3"/>
      <c r="G380" s="3"/>
      <c r="H380" s="3"/>
      <c r="I380" s="3"/>
    </row>
    <row r="381" spans="6:9">
      <c r="F381" s="3"/>
      <c r="G381" s="3"/>
      <c r="H381" s="3"/>
      <c r="I381" s="3"/>
    </row>
    <row r="382" spans="6:9">
      <c r="F382" s="3"/>
      <c r="G382" s="3"/>
      <c r="H382" s="3"/>
      <c r="I382" s="3"/>
    </row>
    <row r="383" spans="6:9">
      <c r="F383" s="3"/>
      <c r="G383" s="3"/>
      <c r="H383" s="3"/>
      <c r="I383" s="3"/>
    </row>
    <row r="384" spans="6:9">
      <c r="F384" s="3"/>
      <c r="G384" s="3"/>
      <c r="H384" s="3"/>
      <c r="I384" s="3"/>
    </row>
    <row r="385" spans="6:9">
      <c r="F385" s="3"/>
      <c r="G385" s="3"/>
      <c r="H385" s="3"/>
      <c r="I385" s="3"/>
    </row>
    <row r="386" spans="6:9">
      <c r="F386" s="3"/>
      <c r="G386" s="3"/>
      <c r="H386" s="3"/>
      <c r="I386" s="3"/>
    </row>
    <row r="387" spans="6:9">
      <c r="F387" s="3"/>
      <c r="G387" s="3"/>
      <c r="H387" s="3"/>
      <c r="I387" s="3"/>
    </row>
    <row r="388" spans="6:9">
      <c r="F388" s="3"/>
      <c r="G388" s="3"/>
      <c r="H388" s="3"/>
      <c r="I388" s="3"/>
    </row>
    <row r="389" spans="6:9">
      <c r="F389" s="3"/>
      <c r="G389" s="3"/>
      <c r="H389" s="3"/>
      <c r="I389" s="3"/>
    </row>
    <row r="390" spans="6:9">
      <c r="F390" s="3"/>
      <c r="G390" s="3"/>
      <c r="H390" s="3"/>
      <c r="I390" s="3"/>
    </row>
    <row r="391" spans="6:9">
      <c r="F391" s="3"/>
      <c r="G391" s="3"/>
      <c r="H391" s="3"/>
      <c r="I391" s="3"/>
    </row>
    <row r="392" spans="6:9">
      <c r="F392" s="3"/>
      <c r="G392" s="1"/>
      <c r="H392" s="3"/>
      <c r="I392" s="3"/>
    </row>
    <row r="393" spans="6:9">
      <c r="F393" s="3"/>
      <c r="G393" s="1"/>
      <c r="H393" s="3"/>
      <c r="I393" s="3"/>
    </row>
    <row r="394" spans="6:9">
      <c r="F394" s="3"/>
      <c r="G394" s="1"/>
      <c r="H394" s="3"/>
      <c r="I394" s="3"/>
    </row>
    <row r="395" spans="6:9">
      <c r="F395" s="3"/>
      <c r="G395" s="1"/>
      <c r="H395" s="3"/>
      <c r="I395" s="3"/>
    </row>
    <row r="396" spans="6:9">
      <c r="F396" s="3"/>
      <c r="G396" s="1"/>
      <c r="H396" s="3"/>
      <c r="I396" s="3"/>
    </row>
    <row r="397" spans="6:9">
      <c r="F397" s="3"/>
      <c r="G397" s="1"/>
      <c r="H397" s="3"/>
      <c r="I397" s="3"/>
    </row>
    <row r="398" spans="6:9">
      <c r="F398" s="3"/>
      <c r="G398" s="3"/>
      <c r="H398" s="3"/>
      <c r="I398" s="3"/>
    </row>
    <row r="399" spans="6:9">
      <c r="F399" s="3"/>
      <c r="G399" s="3"/>
      <c r="H399" s="3"/>
      <c r="I399" s="3"/>
    </row>
    <row r="400" spans="6:9">
      <c r="F400" s="3"/>
      <c r="G400" s="3"/>
      <c r="H400" s="3"/>
      <c r="I400" s="3"/>
    </row>
    <row r="401" spans="6:9">
      <c r="F401" s="3"/>
      <c r="G401" s="3"/>
      <c r="H401" s="3"/>
      <c r="I401" s="3"/>
    </row>
    <row r="402" spans="6:9">
      <c r="F402" s="3"/>
      <c r="G402" s="3"/>
      <c r="H402" s="3"/>
      <c r="I402" s="3"/>
    </row>
    <row r="403" spans="6:9">
      <c r="F403" s="3"/>
      <c r="G403" s="3"/>
      <c r="H403" s="3"/>
      <c r="I403" s="3"/>
    </row>
    <row r="404" spans="6:9">
      <c r="F404" s="3"/>
      <c r="G404" s="3"/>
      <c r="H404" s="3"/>
      <c r="I404" s="3"/>
    </row>
    <row r="405" spans="6:9">
      <c r="F405" s="3"/>
      <c r="G405" s="3"/>
      <c r="H405" s="3"/>
      <c r="I405" s="3"/>
    </row>
    <row r="406" spans="6:9">
      <c r="F406" s="3"/>
      <c r="G406" s="3"/>
      <c r="H406" s="3"/>
      <c r="I406" s="3"/>
    </row>
    <row r="407" spans="6:9">
      <c r="F407" s="3"/>
      <c r="G407" s="1"/>
      <c r="H407" s="3"/>
      <c r="I407" s="3"/>
    </row>
    <row r="408" spans="6:9">
      <c r="F408" s="3"/>
      <c r="G408" s="1"/>
      <c r="H408" s="3"/>
      <c r="I408" s="3"/>
    </row>
    <row r="409" spans="6:9">
      <c r="F409" s="3"/>
      <c r="G409" s="1"/>
      <c r="H409" s="3"/>
      <c r="I409" s="3"/>
    </row>
    <row r="410" spans="6:9">
      <c r="F410" s="3"/>
      <c r="G410" s="1"/>
      <c r="H410" s="3"/>
      <c r="I410" s="3"/>
    </row>
    <row r="411" spans="6:9">
      <c r="F411" s="3"/>
      <c r="G411" s="1"/>
      <c r="H411" s="3"/>
      <c r="I411" s="3"/>
    </row>
    <row r="412" spans="6:9">
      <c r="F412" s="3"/>
      <c r="G412" s="1"/>
      <c r="H412" s="3"/>
      <c r="I412" s="3"/>
    </row>
    <row r="413" spans="6:9">
      <c r="F413" s="3"/>
      <c r="G413" s="3"/>
      <c r="H413" s="3"/>
      <c r="I413" s="3"/>
    </row>
    <row r="414" spans="6:9">
      <c r="F414" s="3"/>
      <c r="G414" s="3"/>
      <c r="H414" s="3"/>
      <c r="I414" s="3"/>
    </row>
    <row r="415" spans="6:9">
      <c r="F415" s="3"/>
      <c r="G415" s="3"/>
      <c r="H415" s="3"/>
      <c r="I415" s="3"/>
    </row>
    <row r="416" spans="6:9">
      <c r="F416" s="3"/>
      <c r="G416" s="3"/>
      <c r="H416" s="3"/>
      <c r="I416" s="3"/>
    </row>
    <row r="417" spans="6:9">
      <c r="F417" s="3"/>
      <c r="G417" s="3"/>
      <c r="H417" s="3"/>
      <c r="I417" s="3"/>
    </row>
    <row r="418" spans="6:9">
      <c r="F418" s="3"/>
      <c r="G418" s="3"/>
      <c r="H418" s="3"/>
      <c r="I418" s="3"/>
    </row>
    <row r="419" spans="6:9">
      <c r="F419" s="3"/>
      <c r="G419" s="3"/>
      <c r="H419" s="3"/>
      <c r="I419" s="3"/>
    </row>
    <row r="420" spans="6:9">
      <c r="F420" s="3"/>
      <c r="G420" s="3"/>
      <c r="H420" s="3"/>
      <c r="I420" s="3"/>
    </row>
    <row r="421" spans="6:9">
      <c r="F421" s="3"/>
      <c r="G421" s="3"/>
      <c r="H421" s="3"/>
      <c r="I421" s="3"/>
    </row>
    <row r="422" spans="6:9">
      <c r="F422" s="3"/>
      <c r="G422" s="1"/>
      <c r="H422" s="3"/>
      <c r="I422" s="3"/>
    </row>
    <row r="423" spans="6:9">
      <c r="F423" s="3"/>
      <c r="G423" s="1"/>
      <c r="H423" s="3"/>
      <c r="I423" s="3"/>
    </row>
    <row r="424" spans="6:9">
      <c r="F424" s="3"/>
      <c r="G424" s="1"/>
      <c r="H424" s="3"/>
      <c r="I424" s="3"/>
    </row>
    <row r="425" spans="6:9">
      <c r="F425" s="3"/>
      <c r="G425" s="1"/>
      <c r="H425" s="3"/>
      <c r="I425" s="3"/>
    </row>
    <row r="426" spans="6:9">
      <c r="F426" s="3"/>
      <c r="G426" s="1"/>
      <c r="H426" s="3"/>
      <c r="I426" s="3"/>
    </row>
    <row r="427" spans="6:9">
      <c r="F427" s="3"/>
      <c r="G427" s="1"/>
      <c r="H427" s="3"/>
      <c r="I427" s="3"/>
    </row>
    <row r="428" spans="6:9">
      <c r="F428" s="3"/>
      <c r="G428" s="3"/>
      <c r="H428" s="3"/>
      <c r="I428" s="3"/>
    </row>
    <row r="429" spans="6:9">
      <c r="F429" s="3"/>
      <c r="G429" s="3"/>
      <c r="H429" s="3"/>
      <c r="I429" s="3"/>
    </row>
    <row r="430" spans="6:9">
      <c r="F430" s="3"/>
      <c r="G430" s="3"/>
      <c r="H430" s="3"/>
      <c r="I430" s="3"/>
    </row>
    <row r="431" spans="6:9">
      <c r="F431" s="3"/>
      <c r="G431" s="3"/>
      <c r="H431" s="3"/>
      <c r="I431" s="3"/>
    </row>
    <row r="432" spans="6:9">
      <c r="F432" s="3"/>
      <c r="G432" s="3"/>
      <c r="H432" s="3"/>
      <c r="I432" s="3"/>
    </row>
    <row r="433" spans="6:9">
      <c r="F433" s="3"/>
      <c r="G433" s="3"/>
      <c r="H433" s="3"/>
      <c r="I433" s="3"/>
    </row>
    <row r="434" spans="6:9">
      <c r="F434" s="3"/>
      <c r="G434" s="3"/>
      <c r="H434" s="3"/>
      <c r="I434" s="3"/>
    </row>
    <row r="435" spans="6:9">
      <c r="F435" s="3"/>
      <c r="G435" s="3"/>
      <c r="H435" s="3"/>
      <c r="I435" s="3"/>
    </row>
    <row r="436" spans="6:9">
      <c r="F436" s="3"/>
      <c r="G436" s="3"/>
      <c r="H436" s="3"/>
      <c r="I436" s="3"/>
    </row>
    <row r="437" spans="6:9">
      <c r="F437" s="3"/>
      <c r="G437" s="3"/>
      <c r="H437" s="3"/>
      <c r="I437" s="3"/>
    </row>
    <row r="438" spans="6:9">
      <c r="F438" s="3"/>
      <c r="G438" s="3"/>
      <c r="H438" s="3"/>
      <c r="I438" s="3"/>
    </row>
    <row r="439" spans="6:9">
      <c r="F439" s="3"/>
      <c r="G439" s="3"/>
      <c r="H439" s="3"/>
      <c r="I439" s="3"/>
    </row>
    <row r="440" spans="6:9">
      <c r="F440" s="3"/>
      <c r="G440" s="1"/>
      <c r="H440" s="3"/>
      <c r="I440" s="3"/>
    </row>
    <row r="441" spans="6:9">
      <c r="F441" s="3"/>
      <c r="G441" s="1"/>
      <c r="H441" s="3"/>
      <c r="I441" s="3"/>
    </row>
    <row r="442" spans="6:9">
      <c r="F442" s="3"/>
      <c r="G442" s="1"/>
      <c r="H442" s="3"/>
      <c r="I442" s="3"/>
    </row>
    <row r="443" spans="6:9">
      <c r="F443" s="3"/>
      <c r="G443" s="1"/>
      <c r="H443" s="3"/>
      <c r="I443" s="3"/>
    </row>
    <row r="444" spans="6:9">
      <c r="F444" s="3"/>
      <c r="G444" s="1"/>
      <c r="H444" s="3"/>
      <c r="I444" s="3"/>
    </row>
    <row r="445" spans="6:9">
      <c r="F445" s="3"/>
      <c r="G445" s="1"/>
      <c r="H445" s="3"/>
      <c r="I445" s="3"/>
    </row>
    <row r="446" spans="6:9">
      <c r="F446" s="3"/>
      <c r="G446" s="3"/>
      <c r="H446" s="3"/>
      <c r="I446" s="3"/>
    </row>
    <row r="447" spans="6:9">
      <c r="F447" s="3"/>
      <c r="G447" s="3"/>
      <c r="H447" s="3"/>
      <c r="I447" s="3"/>
    </row>
    <row r="448" spans="6:9">
      <c r="F448" s="3"/>
      <c r="G448" s="3"/>
      <c r="H448" s="3"/>
      <c r="I448" s="3"/>
    </row>
    <row r="449" spans="6:9">
      <c r="F449" s="3"/>
      <c r="G449" s="3"/>
      <c r="H449" s="3"/>
      <c r="I449" s="3"/>
    </row>
    <row r="450" spans="6:9">
      <c r="F450" s="3"/>
      <c r="G450" s="3"/>
      <c r="H450" s="3"/>
      <c r="I450" s="3"/>
    </row>
    <row r="451" spans="6:9">
      <c r="F451" s="3"/>
      <c r="G451" s="3"/>
      <c r="H451" s="3"/>
      <c r="I451" s="3"/>
    </row>
    <row r="452" spans="6:9">
      <c r="F452" s="3"/>
      <c r="G452" s="3"/>
      <c r="H452" s="3"/>
      <c r="I452" s="3"/>
    </row>
    <row r="453" spans="6:9">
      <c r="F453" s="3"/>
      <c r="G453" s="3"/>
      <c r="H453" s="3"/>
      <c r="I453" s="3"/>
    </row>
    <row r="454" spans="6:9">
      <c r="F454" s="3"/>
      <c r="G454" s="3"/>
      <c r="H454" s="3"/>
      <c r="I454" s="3"/>
    </row>
    <row r="455" spans="6:9">
      <c r="F455" s="3"/>
      <c r="G455" s="1"/>
      <c r="H455" s="3"/>
      <c r="I455" s="3"/>
    </row>
    <row r="456" spans="6:9">
      <c r="F456" s="3"/>
      <c r="G456" s="1"/>
      <c r="H456" s="3"/>
      <c r="I456" s="3"/>
    </row>
    <row r="457" spans="6:9">
      <c r="F457" s="3"/>
      <c r="G457" s="1"/>
      <c r="H457" s="3"/>
      <c r="I457" s="3"/>
    </row>
    <row r="458" spans="6:9">
      <c r="F458" s="3"/>
      <c r="G458" s="1"/>
      <c r="H458" s="3"/>
      <c r="I458" s="3"/>
    </row>
    <row r="459" spans="6:9">
      <c r="F459" s="3"/>
      <c r="G459" s="1"/>
      <c r="H459" s="3"/>
      <c r="I459" s="3"/>
    </row>
    <row r="460" spans="6:9">
      <c r="F460" s="3"/>
      <c r="G460" s="1"/>
      <c r="H460" s="3"/>
      <c r="I460" s="3"/>
    </row>
    <row r="461" spans="6:9">
      <c r="F461" s="3"/>
      <c r="G461" s="3"/>
      <c r="H461" s="3"/>
      <c r="I461" s="3"/>
    </row>
    <row r="462" spans="6:9">
      <c r="F462" s="3"/>
      <c r="G462" s="3"/>
      <c r="H462" s="3"/>
      <c r="I462" s="3"/>
    </row>
    <row r="463" spans="6:9">
      <c r="F463" s="3"/>
      <c r="G463" s="3"/>
      <c r="H463" s="3"/>
      <c r="I463" s="3"/>
    </row>
    <row r="464" spans="6:9">
      <c r="F464" s="3"/>
      <c r="G464" s="3"/>
      <c r="H464" s="3"/>
      <c r="I464" s="3"/>
    </row>
    <row r="465" spans="6:9">
      <c r="F465" s="3"/>
      <c r="G465" s="3"/>
      <c r="H465" s="3"/>
      <c r="I465" s="3"/>
    </row>
    <row r="466" spans="6:9">
      <c r="F466" s="3"/>
      <c r="G466" s="3"/>
      <c r="H466" s="3"/>
      <c r="I466" s="3"/>
    </row>
    <row r="467" spans="6:9">
      <c r="F467" s="3"/>
      <c r="G467" s="3"/>
      <c r="H467" s="3"/>
      <c r="I467" s="3"/>
    </row>
    <row r="468" spans="6:9">
      <c r="F468" s="3"/>
      <c r="G468" s="3"/>
      <c r="H468" s="3"/>
      <c r="I468" s="3"/>
    </row>
    <row r="469" spans="6:9">
      <c r="F469" s="3"/>
      <c r="G469" s="3"/>
      <c r="H469" s="3"/>
      <c r="I469" s="3"/>
    </row>
    <row r="470" spans="6:9">
      <c r="F470" s="3"/>
      <c r="G470" s="1"/>
      <c r="H470" s="3"/>
      <c r="I470" s="3"/>
    </row>
    <row r="471" spans="6:9">
      <c r="F471" s="3"/>
      <c r="G471" s="1"/>
      <c r="H471" s="3"/>
      <c r="I471" s="3"/>
    </row>
    <row r="472" spans="6:9">
      <c r="F472" s="3"/>
      <c r="G472" s="1"/>
      <c r="H472" s="3"/>
      <c r="I472" s="3"/>
    </row>
    <row r="473" spans="6:9">
      <c r="F473" s="3"/>
      <c r="G473" s="1"/>
      <c r="H473" s="3"/>
      <c r="I473" s="3"/>
    </row>
    <row r="474" spans="6:9">
      <c r="F474" s="3"/>
      <c r="G474" s="1"/>
      <c r="H474" s="3"/>
      <c r="I474" s="3"/>
    </row>
    <row r="475" spans="6:9">
      <c r="F475" s="3"/>
      <c r="G475" s="1"/>
      <c r="H475" s="3"/>
      <c r="I475" s="3"/>
    </row>
    <row r="476" spans="6:9">
      <c r="F476" s="3"/>
      <c r="G476" s="3"/>
      <c r="H476" s="3"/>
      <c r="I476" s="3"/>
    </row>
    <row r="477" spans="6:9">
      <c r="F477" s="3"/>
      <c r="G477" s="3"/>
      <c r="H477" s="3"/>
      <c r="I477" s="3"/>
    </row>
    <row r="478" spans="6:9">
      <c r="F478" s="3"/>
      <c r="G478" s="3"/>
      <c r="H478" s="3"/>
      <c r="I478" s="3"/>
    </row>
    <row r="479" spans="6:9">
      <c r="F479" s="3"/>
      <c r="G479" s="3"/>
      <c r="H479" s="3"/>
      <c r="I479" s="3"/>
    </row>
    <row r="480" spans="6:9">
      <c r="F480" s="3"/>
      <c r="G480" s="3"/>
      <c r="H480" s="3"/>
      <c r="I480" s="3"/>
    </row>
    <row r="481" spans="6:9">
      <c r="F481" s="3"/>
      <c r="G481" s="3"/>
      <c r="H481" s="3"/>
      <c r="I481" s="3"/>
    </row>
    <row r="482" spans="6:9">
      <c r="F482" s="3"/>
      <c r="G482" s="3"/>
      <c r="H482" s="3"/>
      <c r="I482" s="3"/>
    </row>
    <row r="483" spans="6:9">
      <c r="F483" s="3"/>
      <c r="G483" s="3"/>
      <c r="H483" s="3"/>
      <c r="I483" s="3"/>
    </row>
    <row r="484" spans="6:9">
      <c r="F484" s="3"/>
      <c r="G484" s="3"/>
      <c r="H484" s="3"/>
      <c r="I484" s="3"/>
    </row>
    <row r="485" spans="6:9">
      <c r="F485" s="3"/>
      <c r="G485" s="3"/>
      <c r="H485" s="3"/>
      <c r="I485" s="3"/>
    </row>
    <row r="486" spans="6:9">
      <c r="F486" s="3"/>
      <c r="G486" s="3"/>
      <c r="H486" s="3"/>
      <c r="I486" s="3"/>
    </row>
    <row r="487" spans="6:9">
      <c r="F487" s="3"/>
      <c r="G487" s="3"/>
      <c r="H487" s="3"/>
      <c r="I487" s="3"/>
    </row>
    <row r="488" spans="6:9">
      <c r="F488" s="3"/>
      <c r="G488" s="1"/>
      <c r="H488" s="3"/>
      <c r="I488" s="3"/>
    </row>
    <row r="489" spans="6:9">
      <c r="F489" s="3"/>
      <c r="G489" s="1"/>
      <c r="H489" s="3"/>
      <c r="I489" s="3"/>
    </row>
    <row r="490" spans="6:9">
      <c r="F490" s="3"/>
      <c r="G490" s="1"/>
      <c r="H490" s="3"/>
      <c r="I490" s="3"/>
    </row>
    <row r="491" spans="6:9">
      <c r="F491" s="3"/>
      <c r="G491" s="1"/>
      <c r="H491" s="3"/>
      <c r="I491" s="3"/>
    </row>
    <row r="492" spans="6:9">
      <c r="F492" s="3"/>
      <c r="G492" s="1"/>
      <c r="H492" s="3"/>
      <c r="I492" s="3"/>
    </row>
    <row r="493" spans="6:9">
      <c r="F493" s="3"/>
      <c r="G493" s="1"/>
      <c r="H493" s="3"/>
      <c r="I493" s="3"/>
    </row>
    <row r="494" spans="6:9">
      <c r="F494" s="3"/>
      <c r="G494" s="3"/>
      <c r="H494" s="3"/>
      <c r="I494" s="3"/>
    </row>
    <row r="495" spans="6:9">
      <c r="F495" s="3"/>
      <c r="G495" s="3"/>
      <c r="H495" s="3"/>
      <c r="I495" s="3"/>
    </row>
    <row r="496" spans="6:9">
      <c r="F496" s="3"/>
      <c r="G496" s="3"/>
      <c r="H496" s="3"/>
      <c r="I496" s="3"/>
    </row>
    <row r="497" spans="6:9">
      <c r="F497" s="3"/>
      <c r="G497" s="3"/>
      <c r="H497" s="3"/>
      <c r="I497" s="3"/>
    </row>
    <row r="498" spans="6:9">
      <c r="F498" s="3"/>
      <c r="G498" s="3"/>
      <c r="H498" s="3"/>
      <c r="I498" s="3"/>
    </row>
    <row r="499" spans="6:9">
      <c r="F499" s="3"/>
      <c r="G499" s="3"/>
      <c r="H499" s="3"/>
      <c r="I499" s="3"/>
    </row>
    <row r="500" spans="6:9">
      <c r="F500" s="3"/>
      <c r="G500" s="3"/>
      <c r="H500" s="3"/>
      <c r="I500" s="3"/>
    </row>
    <row r="501" spans="6:9">
      <c r="F501" s="3"/>
      <c r="G501" s="3"/>
      <c r="H501" s="3"/>
      <c r="I501" s="3"/>
    </row>
    <row r="502" spans="6:9">
      <c r="F502" s="3"/>
      <c r="G502" s="3"/>
      <c r="H502" s="3"/>
      <c r="I502" s="3"/>
    </row>
    <row r="503" spans="6:9">
      <c r="F503" s="3"/>
      <c r="G503" s="1"/>
      <c r="H503" s="3"/>
      <c r="I503" s="3"/>
    </row>
    <row r="504" spans="6:9">
      <c r="F504" s="3"/>
      <c r="G504" s="1"/>
      <c r="H504" s="3"/>
      <c r="I504" s="3"/>
    </row>
    <row r="505" spans="6:9">
      <c r="F505" s="3"/>
      <c r="G505" s="1"/>
      <c r="H505" s="3"/>
      <c r="I505" s="3"/>
    </row>
    <row r="506" spans="6:9">
      <c r="F506" s="3"/>
      <c r="G506" s="1"/>
      <c r="H506" s="3"/>
      <c r="I506" s="3"/>
    </row>
    <row r="507" spans="6:9">
      <c r="F507" s="3"/>
      <c r="G507" s="1"/>
      <c r="H507" s="3"/>
      <c r="I507" s="3"/>
    </row>
    <row r="508" spans="6:9">
      <c r="F508" s="3"/>
      <c r="G508" s="1"/>
      <c r="H508" s="3"/>
      <c r="I508" s="3"/>
    </row>
    <row r="509" spans="6:9">
      <c r="F509" s="3"/>
      <c r="G509" s="3"/>
      <c r="H509" s="3"/>
      <c r="I509" s="3"/>
    </row>
    <row r="510" spans="6:9">
      <c r="F510" s="3"/>
      <c r="G510" s="3"/>
      <c r="H510" s="3"/>
      <c r="I510" s="3"/>
    </row>
    <row r="511" spans="6:9">
      <c r="F511" s="3"/>
      <c r="G511" s="3"/>
      <c r="H511" s="3"/>
      <c r="I511" s="3"/>
    </row>
    <row r="512" spans="6:9">
      <c r="F512" s="3"/>
      <c r="G512" s="3"/>
      <c r="H512" s="3"/>
      <c r="I512" s="3"/>
    </row>
    <row r="513" spans="6:9">
      <c r="F513" s="3"/>
      <c r="G513" s="3"/>
      <c r="H513" s="3"/>
      <c r="I513" s="3"/>
    </row>
    <row r="514" spans="6:9">
      <c r="F514" s="3"/>
      <c r="G514" s="3"/>
      <c r="H514" s="3"/>
      <c r="I514" s="3"/>
    </row>
    <row r="515" spans="6:9">
      <c r="F515" s="3"/>
      <c r="G515" s="3"/>
      <c r="H515" s="3"/>
      <c r="I515" s="3"/>
    </row>
    <row r="516" spans="6:9">
      <c r="F516" s="3"/>
      <c r="G516" s="3"/>
      <c r="H516" s="3"/>
      <c r="I516" s="3"/>
    </row>
    <row r="517" spans="6:9">
      <c r="F517" s="3"/>
      <c r="G517" s="3"/>
      <c r="H517" s="3"/>
      <c r="I517" s="3"/>
    </row>
    <row r="518" spans="6:9">
      <c r="F518" s="3"/>
      <c r="G518" s="1"/>
      <c r="H518" s="3"/>
      <c r="I518" s="3"/>
    </row>
    <row r="519" spans="6:9">
      <c r="F519" s="3"/>
      <c r="G519" s="1"/>
      <c r="H519" s="3"/>
      <c r="I519" s="3"/>
    </row>
    <row r="520" spans="6:9">
      <c r="F520" s="3"/>
      <c r="G520" s="1"/>
      <c r="H520" s="3"/>
      <c r="I520" s="3"/>
    </row>
    <row r="521" spans="6:9">
      <c r="F521" s="3"/>
      <c r="G521" s="1"/>
      <c r="H521" s="3"/>
      <c r="I521" s="3"/>
    </row>
    <row r="522" spans="6:9">
      <c r="F522" s="3"/>
      <c r="G522" s="1"/>
      <c r="H522" s="3"/>
      <c r="I522" s="3"/>
    </row>
    <row r="523" spans="6:9">
      <c r="F523" s="3"/>
      <c r="G523" s="1"/>
      <c r="H523" s="3"/>
      <c r="I523" s="3"/>
    </row>
    <row r="524" spans="6:9">
      <c r="F524" s="3"/>
      <c r="G524" s="3"/>
      <c r="H524" s="3"/>
      <c r="I524" s="3"/>
    </row>
    <row r="525" spans="6:9">
      <c r="F525" s="3"/>
      <c r="G525" s="3"/>
      <c r="H525" s="3"/>
      <c r="I525" s="3"/>
    </row>
    <row r="526" spans="6:9">
      <c r="F526" s="3"/>
      <c r="G526" s="3"/>
      <c r="H526" s="3"/>
      <c r="I526" s="3"/>
    </row>
    <row r="527" spans="6:9">
      <c r="F527" s="3"/>
      <c r="G527" s="3"/>
      <c r="H527" s="3"/>
      <c r="I527" s="3"/>
    </row>
    <row r="528" spans="6:9">
      <c r="F528" s="3"/>
      <c r="G528" s="3"/>
      <c r="H528" s="3"/>
      <c r="I528" s="3"/>
    </row>
    <row r="529" spans="6:9">
      <c r="F529" s="3"/>
      <c r="G529" s="3"/>
      <c r="H529" s="3"/>
      <c r="I529" s="3"/>
    </row>
    <row r="530" spans="6:9">
      <c r="F530" s="3"/>
      <c r="G530" s="3"/>
      <c r="H530" s="3"/>
      <c r="I530" s="3"/>
    </row>
    <row r="531" spans="6:9">
      <c r="F531" s="3"/>
      <c r="G531" s="3"/>
      <c r="H531" s="3"/>
      <c r="I531" s="3"/>
    </row>
    <row r="532" spans="6:9">
      <c r="F532" s="3"/>
      <c r="G532" s="3"/>
      <c r="H532" s="3"/>
      <c r="I532" s="3"/>
    </row>
    <row r="533" spans="6:9">
      <c r="F533" s="3"/>
      <c r="G533" s="3"/>
      <c r="H533" s="3"/>
      <c r="I533" s="3"/>
    </row>
    <row r="534" spans="6:9">
      <c r="F534" s="3"/>
      <c r="G534" s="3"/>
      <c r="H534" s="3"/>
      <c r="I534" s="3"/>
    </row>
    <row r="535" spans="6:9">
      <c r="F535" s="3"/>
      <c r="G535" s="3"/>
      <c r="H535" s="3"/>
      <c r="I535" s="3"/>
    </row>
    <row r="536" spans="6:9">
      <c r="F536" s="3"/>
      <c r="G536" s="1"/>
      <c r="H536" s="3"/>
      <c r="I536" s="3"/>
    </row>
    <row r="537" spans="6:9">
      <c r="F537" s="3"/>
      <c r="G537" s="1"/>
      <c r="H537" s="3"/>
      <c r="I537" s="3"/>
    </row>
    <row r="538" spans="6:9">
      <c r="F538" s="3"/>
      <c r="G538" s="1"/>
      <c r="H538" s="3"/>
      <c r="I538" s="3"/>
    </row>
    <row r="539" spans="6:9">
      <c r="F539" s="3"/>
      <c r="G539" s="1"/>
      <c r="H539" s="3"/>
      <c r="I539" s="3"/>
    </row>
    <row r="540" spans="6:9">
      <c r="F540" s="3"/>
      <c r="G540" s="1"/>
      <c r="H540" s="3"/>
      <c r="I540" s="3"/>
    </row>
    <row r="541" spans="6:9">
      <c r="F541" s="3"/>
      <c r="G541" s="1"/>
      <c r="H541" s="3"/>
      <c r="I541" s="3"/>
    </row>
    <row r="542" spans="6:9">
      <c r="F542" s="3"/>
      <c r="G542" s="3"/>
      <c r="H542" s="3"/>
      <c r="I542" s="3"/>
    </row>
    <row r="543" spans="6:9">
      <c r="F543" s="3"/>
      <c r="G543" s="3"/>
      <c r="H543" s="3"/>
      <c r="I543" s="3"/>
    </row>
    <row r="544" spans="6:9">
      <c r="F544" s="3"/>
      <c r="G544" s="3"/>
      <c r="H544" s="3"/>
      <c r="I544" s="3"/>
    </row>
    <row r="545" spans="6:9">
      <c r="F545" s="3"/>
      <c r="G545" s="3"/>
      <c r="H545" s="3"/>
      <c r="I545" s="3"/>
    </row>
    <row r="546" spans="6:9">
      <c r="F546" s="3"/>
      <c r="G546" s="3"/>
      <c r="H546" s="3"/>
      <c r="I546" s="3"/>
    </row>
    <row r="547" spans="6:9">
      <c r="F547" s="3"/>
      <c r="G547" s="3"/>
      <c r="H547" s="3"/>
      <c r="I547" s="3"/>
    </row>
    <row r="548" spans="6:9">
      <c r="F548" s="3"/>
      <c r="G548" s="3"/>
      <c r="H548" s="3"/>
      <c r="I548" s="3"/>
    </row>
    <row r="549" spans="6:9">
      <c r="F549" s="3"/>
      <c r="G549" s="3"/>
      <c r="H549" s="3"/>
      <c r="I549" s="3"/>
    </row>
    <row r="550" spans="6:9">
      <c r="F550" s="3"/>
      <c r="G550" s="3"/>
      <c r="H550" s="3"/>
      <c r="I550" s="3"/>
    </row>
    <row r="551" spans="6:9">
      <c r="F551" s="3"/>
      <c r="G551" s="1"/>
      <c r="H551" s="3"/>
      <c r="I551" s="3"/>
    </row>
    <row r="552" spans="6:9">
      <c r="F552" s="3"/>
      <c r="G552" s="1"/>
      <c r="H552" s="3"/>
      <c r="I552" s="3"/>
    </row>
    <row r="553" spans="6:9">
      <c r="F553" s="3"/>
      <c r="G553" s="1"/>
      <c r="H553" s="3"/>
      <c r="I553" s="3"/>
    </row>
    <row r="554" spans="6:9">
      <c r="F554" s="3"/>
      <c r="G554" s="1"/>
      <c r="H554" s="3"/>
      <c r="I554" s="3"/>
    </row>
    <row r="555" spans="6:9">
      <c r="F555" s="3"/>
      <c r="G555" s="1"/>
      <c r="H555" s="3"/>
      <c r="I555" s="3"/>
    </row>
    <row r="556" spans="6:9">
      <c r="F556" s="3"/>
      <c r="G556" s="1"/>
      <c r="H556" s="3"/>
      <c r="I556" s="3"/>
    </row>
    <row r="557" spans="6:9">
      <c r="F557" s="3"/>
      <c r="G557" s="3"/>
      <c r="H557" s="3"/>
      <c r="I557" s="3"/>
    </row>
    <row r="558" spans="6:9">
      <c r="F558" s="3"/>
      <c r="G558" s="3"/>
      <c r="H558" s="3"/>
      <c r="I558" s="3"/>
    </row>
    <row r="559" spans="6:9">
      <c r="F559" s="3"/>
      <c r="G559" s="3"/>
      <c r="H559" s="3"/>
      <c r="I559" s="3"/>
    </row>
    <row r="560" spans="6:9">
      <c r="F560" s="3"/>
      <c r="G560" s="3"/>
      <c r="H560" s="3"/>
      <c r="I560" s="3"/>
    </row>
    <row r="561" spans="6:9">
      <c r="F561" s="3"/>
      <c r="G561" s="3"/>
      <c r="H561" s="3"/>
      <c r="I561" s="3"/>
    </row>
    <row r="562" spans="6:9">
      <c r="F562" s="3"/>
      <c r="G562" s="3"/>
      <c r="H562" s="3"/>
      <c r="I562" s="3"/>
    </row>
    <row r="563" spans="6:9">
      <c r="F563" s="3"/>
      <c r="G563" s="3"/>
      <c r="H563" s="3"/>
      <c r="I563" s="3"/>
    </row>
    <row r="564" spans="6:9">
      <c r="F564" s="3"/>
      <c r="G564" s="3"/>
      <c r="H564" s="3"/>
      <c r="I564" s="3"/>
    </row>
    <row r="565" spans="6:9">
      <c r="F565" s="3"/>
      <c r="G565" s="3"/>
      <c r="H565" s="3"/>
      <c r="I565" s="3"/>
    </row>
    <row r="566" spans="6:9">
      <c r="F566" s="3"/>
      <c r="G566" s="1"/>
      <c r="H566" s="3"/>
      <c r="I566" s="3"/>
    </row>
    <row r="567" spans="6:9">
      <c r="F567" s="3"/>
      <c r="G567" s="1"/>
      <c r="H567" s="3"/>
      <c r="I567" s="3"/>
    </row>
    <row r="568" spans="6:9">
      <c r="F568" s="3"/>
      <c r="G568" s="1"/>
      <c r="H568" s="3"/>
      <c r="I568" s="3"/>
    </row>
    <row r="569" spans="6:9">
      <c r="F569" s="3"/>
      <c r="G569" s="1"/>
      <c r="H569" s="3"/>
      <c r="I569" s="3"/>
    </row>
    <row r="570" spans="6:9">
      <c r="F570" s="3"/>
      <c r="G570" s="1"/>
      <c r="H570" s="3"/>
      <c r="I570" s="3"/>
    </row>
    <row r="571" spans="6:9">
      <c r="F571" s="3"/>
      <c r="G571" s="1"/>
      <c r="H571" s="3"/>
      <c r="I571" s="3"/>
    </row>
    <row r="572" spans="6:9">
      <c r="F572" s="3"/>
      <c r="G572" s="3"/>
      <c r="H572" s="3"/>
      <c r="I572" s="3"/>
    </row>
    <row r="573" spans="6:9">
      <c r="F573" s="3"/>
      <c r="G573" s="3"/>
      <c r="H573" s="3"/>
      <c r="I573" s="3"/>
    </row>
    <row r="574" spans="6:9">
      <c r="F574" s="3"/>
      <c r="G574" s="3"/>
      <c r="H574" s="3"/>
      <c r="I574" s="3"/>
    </row>
    <row r="575" spans="6:9">
      <c r="F575" s="3"/>
      <c r="G575" s="3"/>
      <c r="H575" s="3"/>
      <c r="I575" s="3"/>
    </row>
    <row r="576" spans="6:9">
      <c r="F576" s="3"/>
      <c r="G576" s="3"/>
      <c r="H576" s="3"/>
      <c r="I576" s="3"/>
    </row>
    <row r="577" spans="6:9">
      <c r="F577" s="3"/>
      <c r="G577" s="3"/>
      <c r="H577" s="3"/>
      <c r="I577" s="3"/>
    </row>
    <row r="578" spans="6:9">
      <c r="F578" s="3"/>
      <c r="G578" s="3"/>
      <c r="H578" s="3"/>
      <c r="I578" s="3"/>
    </row>
    <row r="579" spans="6:9">
      <c r="F579" s="3"/>
      <c r="G579" s="3"/>
      <c r="H579" s="3"/>
      <c r="I579" s="3"/>
    </row>
    <row r="580" spans="6:9">
      <c r="F580" s="3"/>
      <c r="G580" s="3"/>
      <c r="H580" s="3"/>
      <c r="I580" s="3"/>
    </row>
    <row r="581" spans="6:9">
      <c r="F581" s="3"/>
      <c r="G581" s="3"/>
      <c r="H581" s="3"/>
      <c r="I581" s="3"/>
    </row>
    <row r="582" spans="6:9">
      <c r="F582" s="3"/>
      <c r="G582" s="3"/>
      <c r="H582" s="3"/>
      <c r="I582" s="3"/>
    </row>
    <row r="583" spans="6:9">
      <c r="F583" s="3"/>
      <c r="G583" s="3"/>
      <c r="H583" s="3"/>
      <c r="I583" s="3"/>
    </row>
    <row r="584" spans="6:9">
      <c r="F584" s="3"/>
      <c r="G584" s="1"/>
      <c r="H584" s="3"/>
      <c r="I584" s="3"/>
    </row>
    <row r="585" spans="6:9">
      <c r="F585" s="3"/>
      <c r="G585" s="1"/>
      <c r="H585" s="3"/>
      <c r="I585" s="3"/>
    </row>
    <row r="586" spans="6:9">
      <c r="F586" s="3"/>
      <c r="G586" s="1"/>
      <c r="H586" s="3"/>
      <c r="I586" s="3"/>
    </row>
    <row r="587" spans="6:9">
      <c r="F587" s="3"/>
      <c r="G587" s="1"/>
      <c r="H587" s="3"/>
      <c r="I587" s="3"/>
    </row>
    <row r="588" spans="6:9">
      <c r="F588" s="3"/>
      <c r="G588" s="1"/>
      <c r="H588" s="3"/>
      <c r="I588" s="3"/>
    </row>
    <row r="589" spans="6:9">
      <c r="F589" s="3"/>
      <c r="G589" s="1"/>
      <c r="H589" s="3"/>
      <c r="I589" s="3"/>
    </row>
    <row r="590" spans="6:9">
      <c r="F590" s="3"/>
      <c r="G590" s="3"/>
      <c r="H590" s="3"/>
      <c r="I590" s="3"/>
    </row>
    <row r="591" spans="6:9">
      <c r="F591" s="3"/>
      <c r="G591" s="3"/>
      <c r="H591" s="3"/>
      <c r="I591" s="3"/>
    </row>
    <row r="592" spans="6:9">
      <c r="F592" s="3"/>
      <c r="G592" s="3"/>
      <c r="H592" s="3"/>
      <c r="I592" s="3"/>
    </row>
    <row r="593" spans="6:9">
      <c r="F593" s="3"/>
      <c r="G593" s="3"/>
      <c r="H593" s="3"/>
      <c r="I593" s="3"/>
    </row>
    <row r="594" spans="6:9">
      <c r="F594" s="3"/>
      <c r="G594" s="3"/>
      <c r="H594" s="3"/>
      <c r="I594" s="3"/>
    </row>
    <row r="595" spans="6:9">
      <c r="F595" s="3"/>
      <c r="G595" s="3"/>
      <c r="H595" s="3"/>
      <c r="I595" s="3"/>
    </row>
    <row r="596" spans="6:9">
      <c r="F596" s="3"/>
      <c r="G596" s="3"/>
      <c r="H596" s="3"/>
      <c r="I596" s="3"/>
    </row>
    <row r="597" spans="6:9">
      <c r="F597" s="3"/>
      <c r="G597" s="3"/>
      <c r="H597" s="3"/>
      <c r="I597" s="3"/>
    </row>
    <row r="598" spans="6:9">
      <c r="F598" s="3"/>
      <c r="G598" s="3"/>
      <c r="H598" s="3"/>
      <c r="I598" s="3"/>
    </row>
    <row r="599" spans="6:9">
      <c r="F599" s="3"/>
      <c r="G599" s="1"/>
      <c r="H599" s="3"/>
      <c r="I599" s="3"/>
    </row>
    <row r="600" spans="6:9">
      <c r="F600" s="3"/>
      <c r="G600" s="1"/>
      <c r="H600" s="3"/>
      <c r="I600" s="3"/>
    </row>
    <row r="601" spans="6:9">
      <c r="F601" s="3"/>
      <c r="G601" s="1"/>
      <c r="H601" s="3"/>
      <c r="I601" s="3"/>
    </row>
    <row r="602" spans="6:9">
      <c r="F602" s="3"/>
      <c r="G602" s="1"/>
      <c r="H602" s="3"/>
      <c r="I602" s="3"/>
    </row>
    <row r="603" spans="6:9">
      <c r="F603" s="3"/>
      <c r="G603" s="1"/>
      <c r="H603" s="3"/>
      <c r="I603" s="3"/>
    </row>
    <row r="604" spans="6:9">
      <c r="F604" s="3"/>
      <c r="G604" s="1"/>
      <c r="H604" s="3"/>
      <c r="I604" s="3"/>
    </row>
    <row r="605" spans="6:9">
      <c r="F605" s="3"/>
      <c r="G605" s="3"/>
      <c r="H605" s="3"/>
      <c r="I605" s="3"/>
    </row>
    <row r="606" spans="6:9">
      <c r="F606" s="3"/>
      <c r="G606" s="3"/>
      <c r="H606" s="3"/>
      <c r="I606" s="3"/>
    </row>
    <row r="607" spans="6:9">
      <c r="F607" s="3"/>
      <c r="G607" s="3"/>
      <c r="H607" s="3"/>
      <c r="I607" s="3"/>
    </row>
    <row r="608" spans="6:9">
      <c r="F608" s="3"/>
      <c r="G608" s="3"/>
      <c r="H608" s="3"/>
      <c r="I608" s="3"/>
    </row>
    <row r="609" spans="6:9">
      <c r="F609" s="3"/>
      <c r="G609" s="3"/>
      <c r="H609" s="3"/>
      <c r="I609" s="3"/>
    </row>
    <row r="610" spans="6:9">
      <c r="F610" s="3"/>
      <c r="G610" s="3"/>
      <c r="H610" s="3"/>
      <c r="I610" s="3"/>
    </row>
    <row r="611" spans="6:9">
      <c r="F611" s="3"/>
      <c r="G611" s="3"/>
      <c r="H611" s="3"/>
      <c r="I611" s="3"/>
    </row>
    <row r="612" spans="6:9">
      <c r="F612" s="3"/>
      <c r="G612" s="3"/>
      <c r="H612" s="3"/>
      <c r="I612" s="3"/>
    </row>
    <row r="613" spans="6:9">
      <c r="F613" s="3"/>
      <c r="G613" s="3"/>
      <c r="H613" s="3"/>
      <c r="I613" s="3"/>
    </row>
    <row r="614" spans="6:9">
      <c r="F614" s="3"/>
      <c r="G614" s="1"/>
      <c r="H614" s="3"/>
      <c r="I614" s="3"/>
    </row>
    <row r="615" spans="6:9">
      <c r="F615" s="3"/>
      <c r="G615" s="1"/>
      <c r="H615" s="3"/>
      <c r="I615" s="3"/>
    </row>
    <row r="616" spans="6:9">
      <c r="F616" s="3"/>
      <c r="G616" s="1"/>
      <c r="H616" s="3"/>
      <c r="I616" s="3"/>
    </row>
    <row r="617" spans="6:9">
      <c r="F617" s="3"/>
      <c r="G617" s="1"/>
      <c r="H617" s="3"/>
      <c r="I617" s="3"/>
    </row>
    <row r="618" spans="6:9">
      <c r="F618" s="3"/>
      <c r="G618" s="1"/>
      <c r="H618" s="3"/>
      <c r="I618" s="3"/>
    </row>
    <row r="619" spans="6:9">
      <c r="F619" s="3"/>
      <c r="G619" s="1"/>
      <c r="H619" s="3"/>
      <c r="I619" s="3"/>
    </row>
    <row r="620" spans="6:9">
      <c r="F620" s="3"/>
      <c r="G620" s="3"/>
      <c r="H620" s="3"/>
      <c r="I620" s="3"/>
    </row>
    <row r="621" spans="6:9">
      <c r="F621" s="3"/>
      <c r="G621" s="3"/>
      <c r="H621" s="3"/>
      <c r="I621" s="3"/>
    </row>
    <row r="622" spans="6:9">
      <c r="F622" s="3"/>
      <c r="G622" s="3"/>
      <c r="H622" s="3"/>
      <c r="I622" s="3"/>
    </row>
    <row r="623" spans="6:9">
      <c r="F623" s="3"/>
      <c r="G623" s="3"/>
      <c r="H623" s="3"/>
      <c r="I623" s="3"/>
    </row>
    <row r="624" spans="6:9">
      <c r="F624" s="3"/>
      <c r="G624" s="3"/>
      <c r="H624" s="3"/>
      <c r="I624" s="3"/>
    </row>
    <row r="625" spans="6:9">
      <c r="F625" s="3"/>
      <c r="G625" s="3"/>
      <c r="H625" s="3"/>
      <c r="I625" s="3"/>
    </row>
    <row r="626" spans="6:9">
      <c r="F626" s="3"/>
      <c r="G626" s="3"/>
      <c r="H626" s="3"/>
      <c r="I626" s="3"/>
    </row>
    <row r="627" spans="6:9">
      <c r="F627" s="3"/>
      <c r="G627" s="3"/>
      <c r="H627" s="3"/>
      <c r="I627" s="3"/>
    </row>
    <row r="628" spans="6:9">
      <c r="F628" s="3"/>
      <c r="G628" s="3"/>
      <c r="H628" s="3"/>
      <c r="I628" s="3"/>
    </row>
    <row r="629" spans="6:9">
      <c r="F629" s="3"/>
      <c r="G629" s="3"/>
      <c r="H629" s="3"/>
      <c r="I629" s="3"/>
    </row>
    <row r="630" spans="6:9">
      <c r="F630" s="3"/>
      <c r="G630" s="3"/>
      <c r="H630" s="3"/>
      <c r="I630" s="3"/>
    </row>
    <row r="631" spans="6:9">
      <c r="F631" s="3"/>
      <c r="G631" s="3"/>
      <c r="H631" s="3"/>
      <c r="I631" s="3"/>
    </row>
    <row r="632" spans="6:9">
      <c r="F632" s="3"/>
      <c r="G632" s="1"/>
      <c r="H632" s="3"/>
      <c r="I632" s="3"/>
    </row>
    <row r="633" spans="6:9">
      <c r="F633" s="3"/>
      <c r="G633" s="1"/>
      <c r="H633" s="3"/>
      <c r="I633" s="3"/>
    </row>
    <row r="634" spans="6:9">
      <c r="F634" s="3"/>
      <c r="G634" s="1"/>
      <c r="H634" s="3"/>
      <c r="I634" s="3"/>
    </row>
    <row r="635" spans="6:9">
      <c r="F635" s="3"/>
      <c r="G635" s="1"/>
      <c r="H635" s="3"/>
      <c r="I635" s="3"/>
    </row>
    <row r="636" spans="6:9">
      <c r="F636" s="3"/>
      <c r="G636" s="1"/>
      <c r="H636" s="3"/>
      <c r="I636" s="3"/>
    </row>
    <row r="637" spans="6:9">
      <c r="F637" s="3"/>
      <c r="G637" s="1"/>
      <c r="H637" s="3"/>
      <c r="I637" s="3"/>
    </row>
    <row r="638" spans="6:9">
      <c r="F638" s="3"/>
      <c r="G638" s="3"/>
      <c r="H638" s="3"/>
      <c r="I638" s="3"/>
    </row>
    <row r="639" spans="6:9">
      <c r="F639" s="3"/>
      <c r="G639" s="3"/>
      <c r="H639" s="3"/>
      <c r="I639" s="3"/>
    </row>
    <row r="640" spans="6:9">
      <c r="F640" s="3"/>
      <c r="G640" s="3"/>
      <c r="H640" s="3"/>
      <c r="I640" s="3"/>
    </row>
    <row r="641" spans="6:9">
      <c r="F641" s="3"/>
      <c r="G641" s="3"/>
      <c r="H641" s="3"/>
      <c r="I641" s="3"/>
    </row>
    <row r="642" spans="6:9">
      <c r="F642" s="3"/>
      <c r="G642" s="3"/>
      <c r="H642" s="3"/>
      <c r="I642" s="3"/>
    </row>
    <row r="643" spans="6:9">
      <c r="F643" s="3"/>
      <c r="G643" s="3"/>
      <c r="H643" s="3"/>
      <c r="I643" s="3"/>
    </row>
    <row r="644" spans="6:9">
      <c r="F644" s="3"/>
      <c r="G644" s="3"/>
      <c r="H644" s="3"/>
      <c r="I644" s="3"/>
    </row>
    <row r="645" spans="6:9">
      <c r="F645" s="3"/>
      <c r="G645" s="3"/>
      <c r="H645" s="3"/>
      <c r="I645" s="3"/>
    </row>
    <row r="646" spans="6:9">
      <c r="F646" s="3"/>
      <c r="G646" s="3"/>
      <c r="H646" s="3"/>
      <c r="I646" s="3"/>
    </row>
    <row r="647" spans="6:9">
      <c r="F647" s="3"/>
      <c r="G647" s="1"/>
      <c r="H647" s="3"/>
      <c r="I647" s="3"/>
    </row>
    <row r="648" spans="6:9">
      <c r="F648" s="3"/>
      <c r="G648" s="1"/>
      <c r="H648" s="3"/>
      <c r="I648" s="3"/>
    </row>
    <row r="649" spans="6:9">
      <c r="F649" s="3"/>
      <c r="G649" s="1"/>
      <c r="H649" s="3"/>
      <c r="I649" s="3"/>
    </row>
    <row r="650" spans="6:9">
      <c r="F650" s="3"/>
      <c r="G650" s="1"/>
      <c r="H650" s="3"/>
      <c r="I650" s="3"/>
    </row>
    <row r="651" spans="6:9">
      <c r="F651" s="3"/>
      <c r="G651" s="1"/>
      <c r="H651" s="3"/>
      <c r="I651" s="3"/>
    </row>
    <row r="652" spans="6:9">
      <c r="F652" s="3"/>
      <c r="G652" s="1"/>
      <c r="H652" s="3"/>
      <c r="I652" s="3"/>
    </row>
    <row r="653" spans="6:9">
      <c r="F653" s="3"/>
      <c r="G653" s="3"/>
      <c r="H653" s="3"/>
      <c r="I653" s="3"/>
    </row>
    <row r="654" spans="6:9">
      <c r="F654" s="3"/>
      <c r="G654" s="3"/>
      <c r="H654" s="3"/>
      <c r="I654" s="3"/>
    </row>
    <row r="655" spans="6:9">
      <c r="F655" s="3"/>
      <c r="G655" s="3"/>
      <c r="H655" s="3"/>
      <c r="I655" s="3"/>
    </row>
    <row r="656" spans="6:9">
      <c r="F656" s="3"/>
      <c r="G656" s="3"/>
      <c r="H656" s="3"/>
      <c r="I656" s="3"/>
    </row>
    <row r="657" spans="6:9">
      <c r="F657" s="3"/>
      <c r="G657" s="3"/>
      <c r="H657" s="3"/>
      <c r="I657" s="3"/>
    </row>
    <row r="658" spans="6:9">
      <c r="F658" s="3"/>
      <c r="G658" s="3"/>
      <c r="H658" s="3"/>
      <c r="I658" s="3"/>
    </row>
    <row r="659" spans="6:9">
      <c r="F659" s="3"/>
      <c r="G659" s="3"/>
      <c r="H659" s="3"/>
      <c r="I659" s="3"/>
    </row>
    <row r="660" spans="6:9">
      <c r="F660" s="3"/>
      <c r="G660" s="3"/>
      <c r="H660" s="3"/>
      <c r="I660" s="3"/>
    </row>
    <row r="661" spans="6:9">
      <c r="F661" s="3"/>
      <c r="G661" s="3"/>
      <c r="H661" s="3"/>
      <c r="I661" s="3"/>
    </row>
    <row r="662" spans="6:9">
      <c r="F662" s="3"/>
      <c r="G662" s="1"/>
      <c r="H662" s="3"/>
      <c r="I662" s="3"/>
    </row>
    <row r="663" spans="6:9">
      <c r="F663" s="3"/>
      <c r="G663" s="1"/>
      <c r="H663" s="3"/>
      <c r="I663" s="3"/>
    </row>
    <row r="664" spans="6:9">
      <c r="F664" s="3"/>
      <c r="G664" s="1"/>
      <c r="H664" s="3"/>
      <c r="I664" s="3"/>
    </row>
    <row r="665" spans="6:9">
      <c r="F665" s="3"/>
      <c r="G665" s="1"/>
      <c r="H665" s="3"/>
      <c r="I665" s="3"/>
    </row>
    <row r="666" spans="6:9">
      <c r="F666" s="3"/>
      <c r="G666" s="1"/>
      <c r="H666" s="3"/>
      <c r="I666" s="3"/>
    </row>
    <row r="667" spans="6:9">
      <c r="F667" s="3"/>
      <c r="G667" s="1"/>
      <c r="H667" s="3"/>
      <c r="I667" s="3"/>
    </row>
    <row r="668" spans="6:9">
      <c r="F668" s="3"/>
      <c r="G668" s="3"/>
      <c r="H668" s="3"/>
      <c r="I668" s="3"/>
    </row>
    <row r="669" spans="6:9">
      <c r="F669" s="3"/>
      <c r="G669" s="3"/>
      <c r="H669" s="3"/>
      <c r="I669" s="3"/>
    </row>
    <row r="670" spans="6:9">
      <c r="F670" s="3"/>
      <c r="G670" s="3"/>
      <c r="H670" s="3"/>
      <c r="I670" s="3"/>
    </row>
    <row r="671" spans="6:9">
      <c r="F671" s="3"/>
      <c r="G671" s="3"/>
      <c r="H671" s="3"/>
      <c r="I671" s="3"/>
    </row>
    <row r="672" spans="6:9">
      <c r="F672" s="3"/>
      <c r="G672" s="3"/>
      <c r="H672" s="3"/>
      <c r="I672" s="3"/>
    </row>
    <row r="673" spans="6:9">
      <c r="F673" s="3"/>
      <c r="G673" s="3"/>
      <c r="H673" s="3"/>
      <c r="I673" s="3"/>
    </row>
    <row r="674" spans="6:9">
      <c r="F674" s="3"/>
      <c r="G674" s="3"/>
      <c r="H674" s="3"/>
      <c r="I674" s="3"/>
    </row>
    <row r="675" spans="6:9">
      <c r="F675" s="3"/>
      <c r="G675" s="3"/>
      <c r="H675" s="3"/>
      <c r="I675" s="3"/>
    </row>
    <row r="676" spans="6:9">
      <c r="F676" s="3"/>
      <c r="G676" s="3"/>
      <c r="H676" s="3"/>
      <c r="I676" s="3"/>
    </row>
    <row r="677" spans="6:9">
      <c r="F677" s="3"/>
      <c r="G677" s="3"/>
      <c r="H677" s="3"/>
      <c r="I677" s="3"/>
    </row>
    <row r="678" spans="6:9">
      <c r="F678" s="3"/>
      <c r="G678" s="3"/>
      <c r="H678" s="3"/>
      <c r="I678" s="3"/>
    </row>
    <row r="679" spans="6:9">
      <c r="F679" s="3"/>
      <c r="G679" s="3"/>
      <c r="H679" s="3"/>
      <c r="I679" s="3"/>
    </row>
    <row r="680" spans="6:9">
      <c r="F680" s="3"/>
      <c r="G680" s="1"/>
      <c r="H680" s="3"/>
      <c r="I680" s="3"/>
    </row>
    <row r="681" spans="6:9">
      <c r="F681" s="3"/>
      <c r="G681" s="1"/>
      <c r="H681" s="3"/>
      <c r="I681" s="3"/>
    </row>
    <row r="682" spans="6:9">
      <c r="F682" s="3"/>
      <c r="G682" s="1"/>
      <c r="H682" s="3"/>
      <c r="I682" s="3"/>
    </row>
    <row r="683" spans="6:9">
      <c r="F683" s="3"/>
      <c r="G683" s="1"/>
      <c r="H683" s="3"/>
      <c r="I683" s="3"/>
    </row>
    <row r="684" spans="6:9">
      <c r="F684" s="3"/>
      <c r="G684" s="1"/>
      <c r="H684" s="3"/>
      <c r="I684" s="3"/>
    </row>
    <row r="685" spans="6:9">
      <c r="F685" s="3"/>
      <c r="G685" s="1"/>
      <c r="H685" s="3"/>
      <c r="I685" s="3"/>
    </row>
    <row r="686" spans="6:9">
      <c r="F686" s="3"/>
      <c r="G686" s="3"/>
      <c r="H686" s="3"/>
      <c r="I686" s="3"/>
    </row>
    <row r="687" spans="6:9">
      <c r="F687" s="3"/>
      <c r="G687" s="3"/>
      <c r="H687" s="3"/>
      <c r="I687" s="3"/>
    </row>
    <row r="688" spans="6:9">
      <c r="F688" s="3"/>
      <c r="G688" s="3"/>
      <c r="H688" s="3"/>
      <c r="I688" s="3"/>
    </row>
    <row r="689" spans="6:9">
      <c r="F689" s="3"/>
      <c r="G689" s="3"/>
      <c r="H689" s="3"/>
      <c r="I689" s="3"/>
    </row>
    <row r="690" spans="6:9">
      <c r="F690" s="3"/>
      <c r="G690" s="3"/>
      <c r="H690" s="3"/>
      <c r="I690" s="3"/>
    </row>
    <row r="691" spans="6:9">
      <c r="F691" s="3"/>
      <c r="G691" s="3"/>
      <c r="H691" s="3"/>
      <c r="I691" s="3"/>
    </row>
    <row r="692" spans="6:9">
      <c r="F692" s="3"/>
      <c r="G692" s="3"/>
      <c r="H692" s="3"/>
      <c r="I692" s="3"/>
    </row>
    <row r="693" spans="6:9">
      <c r="F693" s="3"/>
      <c r="G693" s="3"/>
      <c r="H693" s="3"/>
      <c r="I693" s="3"/>
    </row>
    <row r="694" spans="6:9">
      <c r="F694" s="3"/>
      <c r="G694" s="3"/>
      <c r="H694" s="3"/>
      <c r="I694" s="3"/>
    </row>
    <row r="695" spans="6:9">
      <c r="F695" s="3"/>
      <c r="G695" s="1"/>
      <c r="H695" s="3"/>
      <c r="I695" s="3"/>
    </row>
    <row r="696" spans="6:9">
      <c r="F696" s="3"/>
      <c r="G696" s="1"/>
      <c r="H696" s="3"/>
      <c r="I696" s="3"/>
    </row>
    <row r="697" spans="6:9">
      <c r="F697" s="3"/>
      <c r="G697" s="1"/>
      <c r="H697" s="3"/>
      <c r="I697" s="3"/>
    </row>
    <row r="698" spans="6:9">
      <c r="F698" s="3"/>
      <c r="G698" s="1"/>
      <c r="H698" s="3"/>
      <c r="I698" s="3"/>
    </row>
    <row r="699" spans="6:9">
      <c r="F699" s="3"/>
      <c r="G699" s="1"/>
      <c r="H699" s="3"/>
      <c r="I699" s="3"/>
    </row>
    <row r="700" spans="6:9">
      <c r="F700" s="3"/>
      <c r="G700" s="1"/>
      <c r="H700" s="3"/>
      <c r="I700" s="3"/>
    </row>
    <row r="701" spans="6:9">
      <c r="F701" s="3"/>
      <c r="G701" s="3"/>
      <c r="H701" s="3"/>
      <c r="I701" s="3"/>
    </row>
    <row r="702" spans="6:9">
      <c r="F702" s="3"/>
      <c r="G702" s="3"/>
      <c r="H702" s="3"/>
      <c r="I702" s="3"/>
    </row>
    <row r="703" spans="6:9">
      <c r="F703" s="3"/>
      <c r="G703" s="3"/>
      <c r="H703" s="3"/>
      <c r="I703" s="3"/>
    </row>
    <row r="704" spans="6:9">
      <c r="F704" s="3"/>
      <c r="G704" s="3"/>
      <c r="H704" s="3"/>
      <c r="I704" s="3"/>
    </row>
    <row r="705" spans="6:9">
      <c r="F705" s="3"/>
      <c r="G705" s="3"/>
      <c r="H705" s="3"/>
      <c r="I705" s="3"/>
    </row>
    <row r="706" spans="6:9">
      <c r="F706" s="3"/>
      <c r="G706" s="3"/>
      <c r="H706" s="3"/>
      <c r="I706" s="3"/>
    </row>
    <row r="707" spans="6:9">
      <c r="F707" s="3"/>
      <c r="G707" s="3"/>
      <c r="H707" s="3"/>
      <c r="I707" s="3"/>
    </row>
    <row r="708" spans="6:9">
      <c r="F708" s="3"/>
      <c r="G708" s="3"/>
      <c r="H708" s="3"/>
      <c r="I708" s="3"/>
    </row>
    <row r="709" spans="6:9">
      <c r="F709" s="3"/>
      <c r="G709" s="3"/>
      <c r="H709" s="3"/>
      <c r="I709" s="3"/>
    </row>
    <row r="710" spans="6:9">
      <c r="F710" s="3"/>
      <c r="G710" s="1"/>
      <c r="H710" s="3"/>
      <c r="I710" s="3"/>
    </row>
    <row r="711" spans="6:9">
      <c r="F711" s="3"/>
      <c r="G711" s="1"/>
      <c r="H711" s="3"/>
      <c r="I711" s="3"/>
    </row>
    <row r="712" spans="6:9">
      <c r="F712" s="3"/>
      <c r="G712" s="1"/>
      <c r="H712" s="3"/>
      <c r="I712" s="3"/>
    </row>
    <row r="713" spans="6:9">
      <c r="F713" s="3"/>
      <c r="G713" s="1"/>
      <c r="H713" s="3"/>
      <c r="I713" s="3"/>
    </row>
    <row r="714" spans="6:9">
      <c r="F714" s="3"/>
      <c r="G714" s="1"/>
      <c r="H714" s="3"/>
      <c r="I714" s="3"/>
    </row>
    <row r="715" spans="6:9">
      <c r="F715" s="3"/>
      <c r="G715" s="1"/>
      <c r="H715" s="3"/>
      <c r="I715" s="3"/>
    </row>
    <row r="716" spans="6:9">
      <c r="F716" s="3"/>
      <c r="G716" s="3"/>
      <c r="H716" s="3"/>
      <c r="I716" s="3"/>
    </row>
    <row r="717" spans="6:9">
      <c r="F717" s="3"/>
      <c r="G717" s="3"/>
      <c r="H717" s="3"/>
      <c r="I717" s="3"/>
    </row>
    <row r="718" spans="6:9">
      <c r="F718" s="3"/>
      <c r="G718" s="3"/>
      <c r="H718" s="3"/>
      <c r="I718" s="3"/>
    </row>
    <row r="719" spans="6:9">
      <c r="F719" s="3"/>
      <c r="G719" s="3"/>
      <c r="H719" s="3"/>
      <c r="I719" s="3"/>
    </row>
    <row r="720" spans="6:9">
      <c r="F720" s="3"/>
      <c r="G720" s="3"/>
      <c r="H720" s="3"/>
      <c r="I720" s="3"/>
    </row>
    <row r="721" spans="6:9">
      <c r="F721" s="3"/>
      <c r="G721" s="3"/>
      <c r="H721" s="3"/>
      <c r="I721" s="3"/>
    </row>
    <row r="722" spans="6:9">
      <c r="F722" s="3"/>
      <c r="G722" s="3"/>
      <c r="H722" s="3"/>
      <c r="I722" s="3"/>
    </row>
    <row r="723" spans="6:9">
      <c r="F723" s="3"/>
      <c r="G723" s="3"/>
      <c r="H723" s="3"/>
      <c r="I723" s="3"/>
    </row>
    <row r="724" spans="6:9">
      <c r="F724" s="3"/>
      <c r="G724" s="3"/>
      <c r="H724" s="3"/>
      <c r="I724" s="3"/>
    </row>
    <row r="725" spans="6:9">
      <c r="F725" s="3"/>
      <c r="G725" s="3"/>
      <c r="H725" s="3"/>
      <c r="I725" s="3"/>
    </row>
    <row r="726" spans="6:9">
      <c r="F726" s="3"/>
      <c r="G726" s="3"/>
      <c r="H726" s="3"/>
      <c r="I726" s="3"/>
    </row>
    <row r="727" spans="6:9">
      <c r="F727" s="3"/>
      <c r="G727" s="3"/>
      <c r="H727" s="3"/>
      <c r="I727" s="3"/>
    </row>
    <row r="728" spans="6:9">
      <c r="F728" s="3"/>
      <c r="G728" s="1"/>
      <c r="H728" s="3"/>
      <c r="I728" s="3"/>
    </row>
    <row r="729" spans="6:9">
      <c r="F729" s="3"/>
      <c r="G729" s="1"/>
      <c r="H729" s="3"/>
      <c r="I729" s="3"/>
    </row>
    <row r="730" spans="6:9">
      <c r="F730" s="3"/>
      <c r="G730" s="1"/>
      <c r="H730" s="3"/>
      <c r="I730" s="3"/>
    </row>
    <row r="731" spans="6:9">
      <c r="F731" s="3"/>
      <c r="G731" s="1"/>
      <c r="H731" s="3"/>
      <c r="I731" s="3"/>
    </row>
    <row r="732" spans="6:9">
      <c r="F732" s="3"/>
      <c r="G732" s="1"/>
      <c r="H732" s="3"/>
      <c r="I732" s="3"/>
    </row>
    <row r="733" spans="6:9">
      <c r="F733" s="3"/>
      <c r="G733" s="1"/>
      <c r="H733" s="3"/>
      <c r="I733" s="3"/>
    </row>
    <row r="734" spans="6:9">
      <c r="F734" s="3"/>
      <c r="G734" s="3"/>
      <c r="H734" s="3"/>
      <c r="I734" s="3"/>
    </row>
    <row r="735" spans="6:9">
      <c r="F735" s="3"/>
      <c r="G735" s="3"/>
      <c r="H735" s="3"/>
      <c r="I735" s="3"/>
    </row>
    <row r="736" spans="6:9">
      <c r="F736" s="3"/>
      <c r="G736" s="3"/>
      <c r="H736" s="3"/>
      <c r="I736" s="3"/>
    </row>
    <row r="737" spans="6:9">
      <c r="F737" s="3"/>
      <c r="G737" s="3"/>
      <c r="H737" s="3"/>
      <c r="I737" s="3"/>
    </row>
    <row r="738" spans="6:9">
      <c r="F738" s="3"/>
      <c r="G738" s="3"/>
      <c r="H738" s="3"/>
      <c r="I738" s="3"/>
    </row>
    <row r="739" spans="6:9">
      <c r="F739" s="3"/>
      <c r="G739" s="3"/>
      <c r="H739" s="3"/>
      <c r="I739" s="3"/>
    </row>
    <row r="740" spans="6:9">
      <c r="F740" s="3"/>
      <c r="G740" s="3"/>
      <c r="H740" s="3"/>
      <c r="I740" s="3"/>
    </row>
    <row r="741" spans="6:9">
      <c r="F741" s="3"/>
      <c r="G741" s="3"/>
      <c r="H741" s="3"/>
      <c r="I741" s="3"/>
    </row>
    <row r="742" spans="6:9">
      <c r="F742" s="3"/>
      <c r="G742" s="3"/>
      <c r="H742" s="3"/>
      <c r="I742" s="3"/>
    </row>
    <row r="743" spans="6:9">
      <c r="F743" s="3"/>
      <c r="G743" s="1"/>
      <c r="H743" s="3"/>
      <c r="I743" s="3"/>
    </row>
    <row r="744" spans="6:9">
      <c r="F744" s="3"/>
      <c r="G744" s="1"/>
      <c r="H744" s="3"/>
      <c r="I744" s="3"/>
    </row>
    <row r="745" spans="6:9">
      <c r="F745" s="3"/>
      <c r="G745" s="1"/>
      <c r="H745" s="3"/>
      <c r="I745" s="3"/>
    </row>
    <row r="746" spans="6:9">
      <c r="F746" s="3"/>
      <c r="G746" s="1"/>
      <c r="H746" s="3"/>
      <c r="I746" s="3"/>
    </row>
    <row r="747" spans="6:9">
      <c r="F747" s="3"/>
      <c r="G747" s="1"/>
      <c r="H747" s="3"/>
      <c r="I747" s="3"/>
    </row>
    <row r="748" spans="6:9">
      <c r="F748" s="3"/>
      <c r="G748" s="1"/>
      <c r="H748" s="3"/>
      <c r="I748" s="3"/>
    </row>
    <row r="749" spans="6:9">
      <c r="F749" s="3"/>
      <c r="G749" s="3"/>
      <c r="H749" s="3"/>
      <c r="I749" s="3"/>
    </row>
    <row r="750" spans="6:9">
      <c r="F750" s="3"/>
      <c r="G750" s="3"/>
      <c r="H750" s="3"/>
      <c r="I750" s="3"/>
    </row>
    <row r="751" spans="6:9">
      <c r="F751" s="3"/>
      <c r="G751" s="3"/>
      <c r="H751" s="3"/>
      <c r="I751" s="3"/>
    </row>
    <row r="752" spans="6:9">
      <c r="F752" s="3"/>
      <c r="G752" s="3"/>
      <c r="H752" s="3"/>
      <c r="I752" s="3"/>
    </row>
    <row r="753" spans="6:9">
      <c r="F753" s="3"/>
      <c r="G753" s="3"/>
      <c r="H753" s="3"/>
      <c r="I753" s="3"/>
    </row>
    <row r="754" spans="6:9">
      <c r="F754" s="3"/>
      <c r="G754" s="3"/>
      <c r="H754" s="3"/>
      <c r="I754" s="3"/>
    </row>
    <row r="755" spans="6:9">
      <c r="F755" s="3"/>
      <c r="G755" s="3"/>
      <c r="H755" s="3"/>
      <c r="I755" s="3"/>
    </row>
    <row r="756" spans="6:9">
      <c r="F756" s="3"/>
      <c r="G756" s="3"/>
      <c r="H756" s="3"/>
      <c r="I756" s="3"/>
    </row>
    <row r="757" spans="6:9">
      <c r="F757" s="3"/>
      <c r="G757" s="3"/>
      <c r="H757" s="3"/>
      <c r="I757" s="3"/>
    </row>
    <row r="758" spans="6:9">
      <c r="F758" s="3"/>
      <c r="G758" s="1"/>
      <c r="H758" s="3"/>
      <c r="I758" s="3"/>
    </row>
    <row r="759" spans="6:9">
      <c r="F759" s="3"/>
      <c r="G759" s="1"/>
      <c r="H759" s="3"/>
      <c r="I759" s="3"/>
    </row>
    <row r="760" spans="6:9">
      <c r="F760" s="3"/>
      <c r="G760" s="1"/>
      <c r="H760" s="3"/>
      <c r="I760" s="3"/>
    </row>
    <row r="761" spans="6:9">
      <c r="F761" s="3"/>
      <c r="G761" s="1"/>
      <c r="H761" s="3"/>
      <c r="I761" s="3"/>
    </row>
    <row r="762" spans="6:9">
      <c r="F762" s="3"/>
      <c r="G762" s="1"/>
      <c r="H762" s="3"/>
      <c r="I762" s="3"/>
    </row>
    <row r="763" spans="6:9">
      <c r="F763" s="3"/>
      <c r="G763" s="1"/>
      <c r="H763" s="3"/>
      <c r="I763" s="3"/>
    </row>
    <row r="764" spans="6:9">
      <c r="F764" s="3"/>
      <c r="G764" s="3"/>
      <c r="H764" s="3"/>
      <c r="I764" s="3"/>
    </row>
    <row r="765" spans="6:9">
      <c r="F765" s="3"/>
      <c r="G765" s="3"/>
      <c r="H765" s="3"/>
      <c r="I765" s="3"/>
    </row>
    <row r="766" spans="6:9">
      <c r="F766" s="3"/>
      <c r="G766" s="3"/>
      <c r="H766" s="3"/>
      <c r="I766" s="3"/>
    </row>
    <row r="767" spans="6:9">
      <c r="F767" s="3"/>
      <c r="G767" s="3"/>
      <c r="H767" s="3"/>
      <c r="I767" s="3"/>
    </row>
    <row r="768" spans="6:9">
      <c r="F768" s="3"/>
      <c r="G768" s="3"/>
      <c r="H768" s="3"/>
      <c r="I768" s="3"/>
    </row>
    <row r="769" spans="6:9">
      <c r="F769" s="3"/>
      <c r="G769" s="3"/>
      <c r="H769" s="3"/>
      <c r="I769" s="3"/>
    </row>
    <row r="770" spans="6:9">
      <c r="F770" s="3"/>
      <c r="G770" s="3"/>
      <c r="H770" s="3"/>
      <c r="I770" s="3"/>
    </row>
    <row r="771" spans="6:9">
      <c r="F771" s="3"/>
      <c r="G771" s="3"/>
      <c r="H771" s="3"/>
      <c r="I771" s="3"/>
    </row>
    <row r="772" spans="6:9">
      <c r="F772" s="3"/>
      <c r="G772" s="3"/>
      <c r="H772" s="3"/>
      <c r="I772" s="3"/>
    </row>
    <row r="773" spans="6:9">
      <c r="F773" s="3"/>
      <c r="G773" s="3"/>
      <c r="H773" s="3"/>
      <c r="I773" s="3"/>
    </row>
    <row r="774" spans="6:9">
      <c r="F774" s="3"/>
      <c r="G774" s="3"/>
      <c r="H774" s="3"/>
      <c r="I774" s="3"/>
    </row>
    <row r="775" spans="6:9">
      <c r="F775" s="3"/>
      <c r="G775" s="3"/>
      <c r="H775" s="3"/>
      <c r="I775" s="3"/>
    </row>
    <row r="776" spans="6:9">
      <c r="F776" s="3"/>
      <c r="G776" s="1"/>
      <c r="H776" s="3"/>
      <c r="I776" s="3"/>
    </row>
    <row r="777" spans="6:9">
      <c r="F777" s="3"/>
      <c r="G777" s="1"/>
      <c r="H777" s="3"/>
      <c r="I777" s="3"/>
    </row>
    <row r="778" spans="6:9">
      <c r="F778" s="3"/>
      <c r="G778" s="1"/>
      <c r="H778" s="3"/>
      <c r="I778" s="3"/>
    </row>
    <row r="779" spans="6:9">
      <c r="F779" s="3"/>
      <c r="G779" s="1"/>
      <c r="H779" s="3"/>
      <c r="I779" s="3"/>
    </row>
    <row r="780" spans="6:9">
      <c r="F780" s="3"/>
      <c r="G780" s="1"/>
      <c r="H780" s="3"/>
      <c r="I780" s="3"/>
    </row>
    <row r="781" spans="6:9">
      <c r="F781" s="3"/>
      <c r="G781" s="1"/>
      <c r="H781" s="3"/>
      <c r="I781" s="3"/>
    </row>
    <row r="782" spans="6:9">
      <c r="F782" s="3"/>
      <c r="G782" s="3"/>
      <c r="H782" s="3"/>
      <c r="I782" s="3"/>
    </row>
    <row r="783" spans="6:9">
      <c r="F783" s="3"/>
      <c r="G783" s="3"/>
      <c r="H783" s="3"/>
      <c r="I783" s="3"/>
    </row>
    <row r="784" spans="6:9">
      <c r="F784" s="3"/>
      <c r="G784" s="3"/>
      <c r="H784" s="3"/>
      <c r="I784" s="3"/>
    </row>
    <row r="785" spans="6:9">
      <c r="F785" s="3"/>
      <c r="G785" s="3"/>
      <c r="H785" s="3"/>
      <c r="I785" s="3"/>
    </row>
    <row r="786" spans="6:9">
      <c r="F786" s="3"/>
      <c r="G786" s="3"/>
      <c r="H786" s="3"/>
      <c r="I786" s="3"/>
    </row>
    <row r="787" spans="6:9">
      <c r="F787" s="3"/>
      <c r="G787" s="3"/>
      <c r="H787" s="3"/>
      <c r="I787" s="3"/>
    </row>
    <row r="788" spans="6:9">
      <c r="F788" s="3"/>
      <c r="G788" s="3"/>
      <c r="H788" s="3"/>
      <c r="I788" s="3"/>
    </row>
    <row r="789" spans="6:9">
      <c r="F789" s="3"/>
      <c r="G789" s="3"/>
      <c r="H789" s="3"/>
      <c r="I789" s="3"/>
    </row>
    <row r="790" spans="6:9">
      <c r="F790" s="3"/>
      <c r="G790" s="3"/>
      <c r="H790" s="3"/>
      <c r="I790" s="3"/>
    </row>
    <row r="791" spans="6:9">
      <c r="F791" s="3"/>
      <c r="G791" s="1"/>
      <c r="H791" s="3"/>
      <c r="I791" s="3"/>
    </row>
    <row r="792" spans="6:9">
      <c r="F792" s="3"/>
      <c r="G792" s="1"/>
      <c r="H792" s="3"/>
      <c r="I792" s="3"/>
    </row>
    <row r="793" spans="6:9">
      <c r="F793" s="3"/>
      <c r="G793" s="1"/>
      <c r="H793" s="3"/>
      <c r="I793" s="3"/>
    </row>
    <row r="794" spans="6:9">
      <c r="F794" s="3"/>
      <c r="G794" s="1"/>
      <c r="H794" s="3"/>
      <c r="I794" s="3"/>
    </row>
    <row r="795" spans="6:9">
      <c r="F795" s="3"/>
      <c r="G795" s="1"/>
      <c r="H795" s="3"/>
      <c r="I795" s="3"/>
    </row>
    <row r="796" spans="6:9">
      <c r="F796" s="3"/>
      <c r="G796" s="1"/>
      <c r="H796" s="3"/>
      <c r="I796" s="3"/>
    </row>
    <row r="797" spans="6:9">
      <c r="F797" s="3"/>
      <c r="G797" s="3"/>
      <c r="H797" s="3"/>
      <c r="I797" s="3"/>
    </row>
    <row r="798" spans="6:9">
      <c r="F798" s="3"/>
      <c r="G798" s="3"/>
      <c r="H798" s="3"/>
      <c r="I798" s="3"/>
    </row>
    <row r="799" spans="6:9">
      <c r="F799" s="3"/>
      <c r="G799" s="3"/>
      <c r="H799" s="3"/>
      <c r="I799" s="3"/>
    </row>
    <row r="800" spans="6:9">
      <c r="F800" s="3"/>
      <c r="G800" s="3"/>
      <c r="H800" s="3"/>
      <c r="I800" s="3"/>
    </row>
    <row r="801" spans="6:9">
      <c r="F801" s="3"/>
      <c r="G801" s="3"/>
      <c r="H801" s="3"/>
      <c r="I801" s="3"/>
    </row>
    <row r="802" spans="6:9">
      <c r="F802" s="3"/>
      <c r="G802" s="3"/>
      <c r="H802" s="3"/>
      <c r="I802" s="3"/>
    </row>
    <row r="803" spans="6:9">
      <c r="F803" s="3"/>
      <c r="G803" s="3"/>
      <c r="H803" s="3"/>
      <c r="I803" s="3"/>
    </row>
    <row r="804" spans="6:9">
      <c r="F804" s="3"/>
      <c r="G804" s="3"/>
      <c r="H804" s="3"/>
      <c r="I804" s="3"/>
    </row>
    <row r="805" spans="6:9">
      <c r="F805" s="3"/>
      <c r="G805" s="3"/>
      <c r="H805" s="3"/>
      <c r="I805" s="3"/>
    </row>
    <row r="806" spans="6:9">
      <c r="F806" s="3"/>
      <c r="G806" s="1"/>
      <c r="H806" s="3"/>
      <c r="I806" s="3"/>
    </row>
    <row r="807" spans="6:9">
      <c r="F807" s="3"/>
      <c r="G807" s="1"/>
      <c r="H807" s="3"/>
      <c r="I807" s="3"/>
    </row>
    <row r="808" spans="6:9">
      <c r="F808" s="3"/>
      <c r="G808" s="1"/>
      <c r="H808" s="3"/>
      <c r="I808" s="3"/>
    </row>
    <row r="809" spans="6:9">
      <c r="F809" s="3"/>
      <c r="G809" s="1"/>
      <c r="H809" s="3"/>
      <c r="I809" s="3"/>
    </row>
    <row r="810" spans="6:9">
      <c r="F810" s="3"/>
      <c r="G810" s="1"/>
      <c r="H810" s="3"/>
      <c r="I810" s="3"/>
    </row>
    <row r="811" spans="6:9">
      <c r="F811" s="3"/>
      <c r="G811" s="1"/>
      <c r="H811" s="3"/>
      <c r="I811" s="3"/>
    </row>
    <row r="812" spans="6:9">
      <c r="F812" s="3"/>
      <c r="G812" s="3"/>
      <c r="H812" s="3"/>
      <c r="I812" s="3"/>
    </row>
    <row r="813" spans="6:9">
      <c r="F813" s="3"/>
      <c r="G813" s="3"/>
      <c r="H813" s="3"/>
      <c r="I813" s="3"/>
    </row>
    <row r="814" spans="6:9">
      <c r="F814" s="3"/>
      <c r="G814" s="3"/>
      <c r="H814" s="3"/>
      <c r="I814" s="3"/>
    </row>
    <row r="815" spans="6:9">
      <c r="F815" s="3"/>
      <c r="G815" s="3"/>
      <c r="H815" s="3"/>
      <c r="I815" s="3"/>
    </row>
    <row r="816" spans="6:9">
      <c r="F816" s="3"/>
      <c r="G816" s="3"/>
      <c r="H816" s="3"/>
      <c r="I816" s="3"/>
    </row>
    <row r="817" spans="6:9">
      <c r="F817" s="3"/>
      <c r="G817" s="3"/>
      <c r="H817" s="3"/>
      <c r="I817" s="3"/>
    </row>
    <row r="818" spans="6:9">
      <c r="F818" s="3"/>
      <c r="G818" s="3"/>
      <c r="H818" s="3"/>
      <c r="I818" s="3"/>
    </row>
    <row r="819" spans="6:9">
      <c r="F819" s="3"/>
      <c r="G819" s="3"/>
      <c r="H819" s="3"/>
      <c r="I819" s="3"/>
    </row>
    <row r="820" spans="6:9">
      <c r="F820" s="3"/>
      <c r="G820" s="3"/>
      <c r="H820" s="3"/>
      <c r="I820" s="3"/>
    </row>
    <row r="821" spans="6:9">
      <c r="F821" s="3"/>
      <c r="G821" s="3"/>
      <c r="H821" s="3"/>
      <c r="I821" s="3"/>
    </row>
    <row r="822" spans="6:9">
      <c r="F822" s="3"/>
      <c r="G822" s="3"/>
      <c r="H822" s="3"/>
      <c r="I822" s="3"/>
    </row>
    <row r="823" spans="6:9">
      <c r="F823" s="3"/>
      <c r="G823" s="3"/>
      <c r="H823" s="3"/>
      <c r="I823" s="3"/>
    </row>
    <row r="824" spans="6:9">
      <c r="F824" s="3"/>
      <c r="G824" s="1"/>
      <c r="H824" s="3"/>
      <c r="I824" s="3"/>
    </row>
    <row r="825" spans="6:9">
      <c r="F825" s="3"/>
      <c r="G825" s="1"/>
      <c r="H825" s="3"/>
      <c r="I825" s="3"/>
    </row>
    <row r="826" spans="6:9">
      <c r="F826" s="3"/>
      <c r="G826" s="1"/>
      <c r="H826" s="3"/>
      <c r="I826" s="3"/>
    </row>
    <row r="827" spans="6:9">
      <c r="F827" s="3"/>
      <c r="G827" s="1"/>
      <c r="H827" s="3"/>
      <c r="I827" s="3"/>
    </row>
    <row r="828" spans="6:9">
      <c r="F828" s="3"/>
      <c r="G828" s="1"/>
      <c r="H828" s="3"/>
      <c r="I828" s="3"/>
    </row>
    <row r="829" spans="6:9">
      <c r="F829" s="3"/>
      <c r="G829" s="1"/>
      <c r="H829" s="3"/>
      <c r="I829" s="3"/>
    </row>
    <row r="830" spans="6:9">
      <c r="F830" s="3"/>
      <c r="G830" s="3"/>
      <c r="H830" s="3"/>
      <c r="I830" s="3"/>
    </row>
    <row r="831" spans="6:9">
      <c r="F831" s="3"/>
      <c r="G831" s="3"/>
      <c r="H831" s="3"/>
      <c r="I831" s="3"/>
    </row>
    <row r="832" spans="6:9">
      <c r="F832" s="3"/>
      <c r="G832" s="3"/>
      <c r="H832" s="3"/>
      <c r="I832" s="3"/>
    </row>
    <row r="833" spans="6:9">
      <c r="F833" s="3"/>
      <c r="G833" s="3"/>
      <c r="H833" s="3"/>
      <c r="I833" s="3"/>
    </row>
    <row r="834" spans="6:9">
      <c r="F834" s="3"/>
      <c r="G834" s="3"/>
      <c r="H834" s="3"/>
      <c r="I834" s="3"/>
    </row>
    <row r="835" spans="6:9">
      <c r="F835" s="3"/>
      <c r="G835" s="3"/>
      <c r="H835" s="3"/>
      <c r="I835" s="3"/>
    </row>
    <row r="836" spans="6:9">
      <c r="F836" s="3"/>
      <c r="G836" s="3"/>
      <c r="H836" s="3"/>
      <c r="I836" s="3"/>
    </row>
    <row r="837" spans="6:9">
      <c r="F837" s="3"/>
      <c r="G837" s="3"/>
      <c r="H837" s="3"/>
      <c r="I837" s="3"/>
    </row>
    <row r="838" spans="6:9">
      <c r="F838" s="3"/>
      <c r="G838" s="3"/>
      <c r="H838" s="3"/>
      <c r="I838" s="3"/>
    </row>
    <row r="839" spans="6:9">
      <c r="F839" s="3"/>
      <c r="G839" s="1"/>
      <c r="H839" s="3"/>
      <c r="I839" s="3"/>
    </row>
    <row r="840" spans="6:9">
      <c r="F840" s="3"/>
      <c r="G840" s="1"/>
      <c r="H840" s="3"/>
      <c r="I840" s="3"/>
    </row>
    <row r="841" spans="6:9">
      <c r="F841" s="3"/>
      <c r="G841" s="1"/>
      <c r="H841" s="3"/>
      <c r="I841" s="3"/>
    </row>
    <row r="842" spans="6:9">
      <c r="F842" s="3"/>
      <c r="G842" s="1"/>
      <c r="H842" s="3"/>
      <c r="I842" s="3"/>
    </row>
    <row r="843" spans="6:9">
      <c r="F843" s="3"/>
      <c r="G843" s="1"/>
      <c r="H843" s="3"/>
      <c r="I843" s="3"/>
    </row>
    <row r="844" spans="6:9">
      <c r="F844" s="3"/>
      <c r="G844" s="1"/>
      <c r="H844" s="3"/>
      <c r="I844" s="3"/>
    </row>
    <row r="845" spans="6:9">
      <c r="F845" s="3"/>
      <c r="G845" s="3"/>
      <c r="H845" s="3"/>
      <c r="I845" s="3"/>
    </row>
    <row r="846" spans="6:9">
      <c r="F846" s="3"/>
      <c r="G846" s="3"/>
      <c r="H846" s="3"/>
      <c r="I846" s="3"/>
    </row>
    <row r="847" spans="6:9">
      <c r="F847" s="3"/>
      <c r="G847" s="3"/>
      <c r="H847" s="3"/>
      <c r="I847" s="3"/>
    </row>
    <row r="848" spans="6:9">
      <c r="F848" s="3"/>
      <c r="G848" s="3"/>
      <c r="H848" s="3"/>
      <c r="I848" s="3"/>
    </row>
    <row r="849" spans="6:9">
      <c r="F849" s="3"/>
      <c r="G849" s="3"/>
      <c r="H849" s="3"/>
      <c r="I849" s="3"/>
    </row>
    <row r="850" spans="6:9">
      <c r="F850" s="3"/>
      <c r="G850" s="3"/>
      <c r="H850" s="3"/>
      <c r="I850" s="3"/>
    </row>
    <row r="851" spans="6:9">
      <c r="F851" s="3"/>
      <c r="G851" s="3"/>
      <c r="H851" s="3"/>
      <c r="I851" s="3"/>
    </row>
    <row r="852" spans="6:9">
      <c r="F852" s="3"/>
      <c r="G852" s="3"/>
      <c r="H852" s="3"/>
      <c r="I852" s="3"/>
    </row>
    <row r="853" spans="6:9">
      <c r="F853" s="3"/>
      <c r="G853" s="3"/>
      <c r="H853" s="3"/>
      <c r="I853" s="3"/>
    </row>
    <row r="854" spans="6:9">
      <c r="F854" s="3"/>
      <c r="G854" s="1"/>
      <c r="H854" s="3"/>
      <c r="I854" s="3"/>
    </row>
    <row r="855" spans="6:9">
      <c r="F855" s="3"/>
      <c r="G855" s="1"/>
      <c r="H855" s="3"/>
      <c r="I855" s="3"/>
    </row>
    <row r="856" spans="6:9">
      <c r="F856" s="3"/>
      <c r="G856" s="1"/>
      <c r="H856" s="3"/>
      <c r="I856" s="3"/>
    </row>
    <row r="857" spans="6:9">
      <c r="F857" s="3"/>
      <c r="G857" s="1"/>
      <c r="H857" s="3"/>
      <c r="I857" s="3"/>
    </row>
    <row r="858" spans="6:9">
      <c r="F858" s="3"/>
      <c r="G858" s="1"/>
      <c r="H858" s="3"/>
      <c r="I858" s="3"/>
    </row>
    <row r="859" spans="6:9">
      <c r="F859" s="3"/>
      <c r="G859" s="1"/>
      <c r="H859" s="3"/>
      <c r="I859" s="3"/>
    </row>
    <row r="860" spans="6:9">
      <c r="F860" s="3"/>
      <c r="G860" s="3"/>
      <c r="H860" s="3"/>
      <c r="I860" s="3"/>
    </row>
    <row r="861" spans="6:9">
      <c r="F861" s="3"/>
      <c r="G861" s="3"/>
      <c r="H861" s="3"/>
      <c r="I861" s="3"/>
    </row>
    <row r="862" spans="6:9">
      <c r="F862" s="3"/>
      <c r="G862" s="3"/>
      <c r="H862" s="3"/>
      <c r="I862" s="3"/>
    </row>
    <row r="863" spans="6:9">
      <c r="F863" s="3"/>
      <c r="G863" s="3"/>
      <c r="H863" s="3"/>
      <c r="I863" s="3"/>
    </row>
    <row r="864" spans="6:9">
      <c r="F864" s="3"/>
      <c r="G864" s="3"/>
      <c r="H864" s="3"/>
      <c r="I864" s="3"/>
    </row>
    <row r="865" spans="6:9">
      <c r="F865" s="3"/>
      <c r="G865" s="3"/>
      <c r="H865" s="3"/>
      <c r="I865" s="3"/>
    </row>
    <row r="866" spans="6:9">
      <c r="F866" s="3"/>
      <c r="G866" s="3"/>
      <c r="H866" s="3"/>
      <c r="I866" s="3"/>
    </row>
    <row r="867" spans="6:9">
      <c r="F867" s="3"/>
      <c r="G867" s="3"/>
      <c r="H867" s="3"/>
      <c r="I867" s="3"/>
    </row>
    <row r="868" spans="6:9">
      <c r="F868" s="3"/>
      <c r="G868" s="3"/>
      <c r="H868" s="3"/>
      <c r="I868" s="3"/>
    </row>
  </sheetData>
  <mergeCells count="130">
    <mergeCell ref="B135:F135"/>
    <mergeCell ref="B133:F133"/>
    <mergeCell ref="B136:K136"/>
    <mergeCell ref="A99:G99"/>
    <mergeCell ref="A111:A112"/>
    <mergeCell ref="B111:B112"/>
    <mergeCell ref="C111:C112"/>
    <mergeCell ref="D111:D112"/>
    <mergeCell ref="E111:E112"/>
    <mergeCell ref="A129:D129"/>
    <mergeCell ref="B131:F131"/>
    <mergeCell ref="G131:K134"/>
    <mergeCell ref="B132:F132"/>
    <mergeCell ref="B134:F134"/>
    <mergeCell ref="A3:A4"/>
    <mergeCell ref="B128:K128"/>
    <mergeCell ref="J3:J4"/>
    <mergeCell ref="C3:C4"/>
    <mergeCell ref="E3:E4"/>
    <mergeCell ref="B3:B4"/>
    <mergeCell ref="D3:D4"/>
    <mergeCell ref="A69:G69"/>
    <mergeCell ref="A80:A81"/>
    <mergeCell ref="B80:B81"/>
    <mergeCell ref="C80:C81"/>
    <mergeCell ref="D80:D81"/>
    <mergeCell ref="E80:E81"/>
    <mergeCell ref="J80:J81"/>
    <mergeCell ref="J111:J112"/>
    <mergeCell ref="B126:K126"/>
    <mergeCell ref="A127:A128"/>
    <mergeCell ref="B127:K127"/>
    <mergeCell ref="B121:K121"/>
    <mergeCell ref="A76:K77"/>
    <mergeCell ref="A142:A147"/>
    <mergeCell ref="B142:K142"/>
    <mergeCell ref="B143:K143"/>
    <mergeCell ref="B144:K144"/>
    <mergeCell ref="B145:K145"/>
    <mergeCell ref="B146:K146"/>
    <mergeCell ref="B147:K147"/>
    <mergeCell ref="A137:A141"/>
    <mergeCell ref="B137:G137"/>
    <mergeCell ref="H137:K137"/>
    <mergeCell ref="B138:K138"/>
    <mergeCell ref="B139:G139"/>
    <mergeCell ref="H139:K139"/>
    <mergeCell ref="B140:K140"/>
    <mergeCell ref="B141:K141"/>
    <mergeCell ref="A148:A154"/>
    <mergeCell ref="B148:G148"/>
    <mergeCell ref="B149:G149"/>
    <mergeCell ref="H149:I149"/>
    <mergeCell ref="B150:G150"/>
    <mergeCell ref="H150:I150"/>
    <mergeCell ref="B151:G151"/>
    <mergeCell ref="H151:I151"/>
    <mergeCell ref="B154:G154"/>
    <mergeCell ref="H154:I154"/>
    <mergeCell ref="B152:G152"/>
    <mergeCell ref="H152:I152"/>
    <mergeCell ref="B153:G153"/>
    <mergeCell ref="H153:I153"/>
    <mergeCell ref="J167:K170"/>
    <mergeCell ref="B168:G168"/>
    <mergeCell ref="B169:G169"/>
    <mergeCell ref="B163:G163"/>
    <mergeCell ref="H163:I165"/>
    <mergeCell ref="J163:K165"/>
    <mergeCell ref="B164:G164"/>
    <mergeCell ref="B165:G165"/>
    <mergeCell ref="A155:A156"/>
    <mergeCell ref="B155:K155"/>
    <mergeCell ref="B156:K156"/>
    <mergeCell ref="B157:K157"/>
    <mergeCell ref="A158:A160"/>
    <mergeCell ref="B158:F159"/>
    <mergeCell ref="G158:G160"/>
    <mergeCell ref="H158:K158"/>
    <mergeCell ref="H159:K159"/>
    <mergeCell ref="B160:F160"/>
    <mergeCell ref="H160:K160"/>
    <mergeCell ref="B194:K194"/>
    <mergeCell ref="B193:K193"/>
    <mergeCell ref="H182:I182"/>
    <mergeCell ref="J182:K182"/>
    <mergeCell ref="A171:A173"/>
    <mergeCell ref="B171:G171"/>
    <mergeCell ref="H171:K176"/>
    <mergeCell ref="B172:G172"/>
    <mergeCell ref="B173:G173"/>
    <mergeCell ref="B174:G174"/>
    <mergeCell ref="A176:A186"/>
    <mergeCell ref="H183:I183"/>
    <mergeCell ref="J183:K183"/>
    <mergeCell ref="B190:G190"/>
    <mergeCell ref="H190:K190"/>
    <mergeCell ref="B191:G191"/>
    <mergeCell ref="H191:K191"/>
    <mergeCell ref="B192:K192"/>
    <mergeCell ref="H178:K178"/>
    <mergeCell ref="H186:I186"/>
    <mergeCell ref="J186:K186"/>
    <mergeCell ref="H179:I179"/>
    <mergeCell ref="H177:K177"/>
    <mergeCell ref="A187:A189"/>
    <mergeCell ref="B187:G187"/>
    <mergeCell ref="B188:G188"/>
    <mergeCell ref="B189:G189"/>
    <mergeCell ref="H187:K189"/>
    <mergeCell ref="B175:G186"/>
    <mergeCell ref="A123:K124"/>
    <mergeCell ref="J179:K179"/>
    <mergeCell ref="H185:I185"/>
    <mergeCell ref="J185:K185"/>
    <mergeCell ref="H180:I180"/>
    <mergeCell ref="J180:K180"/>
    <mergeCell ref="H184:I184"/>
    <mergeCell ref="J184:K184"/>
    <mergeCell ref="H181:I181"/>
    <mergeCell ref="J181:K181"/>
    <mergeCell ref="B170:G170"/>
    <mergeCell ref="A162:A170"/>
    <mergeCell ref="B162:G162"/>
    <mergeCell ref="H162:I162"/>
    <mergeCell ref="J162:K162"/>
    <mergeCell ref="B166:G166"/>
    <mergeCell ref="H166:I170"/>
    <mergeCell ref="J166:K166"/>
    <mergeCell ref="B167:G167"/>
  </mergeCells>
  <phoneticPr fontId="1" type="noConversion"/>
  <printOptions horizontalCentered="1"/>
  <pageMargins left="0.39000000000000007" right="0.39000000000000007" top="1.71" bottom="0.98" header="0.51" footer="0.51"/>
  <pageSetup paperSize="9" scale="55" fitToHeight="0" orientation="portrait" r:id="rId1"/>
  <headerFooter>
    <oddHeader>&amp;L&amp;"Garamond Premr Pro,Regular"&amp;20&amp;K001892PRICE LIST 2018&amp;16
&amp;20Navigare Yachting - Croatia&amp;16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rowBreaks count="3" manualBreakCount="3">
    <brk id="77" max="10" man="1"/>
    <brk id="126" max="10" man="1"/>
    <brk id="160" max="10"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3176E-1FF3-44FC-BB51-CE9CCA737848}">
  <sheetPr>
    <pageSetUpPr fitToPage="1"/>
  </sheetPr>
  <dimension ref="A1:Q669"/>
  <sheetViews>
    <sheetView zoomScaleNormal="100" zoomScaleSheetLayoutView="90" workbookViewId="0">
      <selection activeCell="F19" sqref="F19"/>
    </sheetView>
  </sheetViews>
  <sheetFormatPr defaultColWidth="8.625" defaultRowHeight="12.75"/>
  <cols>
    <col min="1" max="1" width="33.875" style="1" customWidth="1"/>
    <col min="2" max="2" width="12.625" style="3" customWidth="1"/>
    <col min="3" max="3" width="8.125" style="3" customWidth="1"/>
    <col min="4" max="4" width="20.5" style="1" customWidth="1"/>
    <col min="5" max="5" width="7.875" style="1" customWidth="1"/>
    <col min="6" max="9" width="11.625" style="8" customWidth="1"/>
    <col min="10" max="11" width="11.625" style="1" customWidth="1"/>
    <col min="12" max="13" width="9.875" style="1" hidden="1" customWidth="1"/>
    <col min="14" max="14" width="3.625" style="1" hidden="1" customWidth="1"/>
    <col min="15" max="17" width="4.875" style="1" hidden="1" customWidth="1"/>
    <col min="18" max="16384" width="8.625" style="1"/>
  </cols>
  <sheetData>
    <row r="1" spans="1:11" ht="21">
      <c r="A1" s="9" t="s">
        <v>608</v>
      </c>
      <c r="B1" s="10"/>
      <c r="C1" s="10"/>
      <c r="D1" s="10"/>
      <c r="E1" s="10"/>
      <c r="F1" s="10"/>
      <c r="G1" s="10"/>
      <c r="H1" s="10"/>
      <c r="I1" s="10"/>
      <c r="J1" s="10"/>
      <c r="K1" s="10"/>
    </row>
    <row r="2" spans="1:11" ht="15.75">
      <c r="A2" s="12" t="s">
        <v>609</v>
      </c>
      <c r="B2" s="43"/>
      <c r="C2" s="43"/>
      <c r="D2" s="12" t="s">
        <v>81</v>
      </c>
      <c r="E2" s="12"/>
      <c r="F2" s="12"/>
      <c r="G2" s="12"/>
      <c r="H2" s="12"/>
      <c r="I2" s="12"/>
      <c r="J2" s="12"/>
      <c r="K2" s="12"/>
    </row>
    <row r="3" spans="1:11">
      <c r="A3" s="536" t="s">
        <v>3</v>
      </c>
      <c r="B3" s="470" t="s">
        <v>98</v>
      </c>
      <c r="C3" s="393" t="s">
        <v>146</v>
      </c>
      <c r="D3" s="470" t="s">
        <v>11</v>
      </c>
      <c r="E3" s="393" t="s">
        <v>151</v>
      </c>
      <c r="F3" s="470" t="s">
        <v>637</v>
      </c>
      <c r="G3" s="470" t="s">
        <v>638</v>
      </c>
      <c r="H3" s="470" t="s">
        <v>639</v>
      </c>
      <c r="I3" s="470" t="s">
        <v>640</v>
      </c>
      <c r="J3" s="470" t="s">
        <v>641</v>
      </c>
      <c r="K3" s="531" t="s">
        <v>99</v>
      </c>
    </row>
    <row r="4" spans="1:11" ht="27.75" customHeight="1">
      <c r="A4" s="536"/>
      <c r="B4" s="471"/>
      <c r="C4" s="395"/>
      <c r="D4" s="537"/>
      <c r="E4" s="395"/>
      <c r="F4" s="568"/>
      <c r="G4" s="470"/>
      <c r="H4" s="568"/>
      <c r="I4" s="568"/>
      <c r="J4" s="470"/>
      <c r="K4" s="531"/>
    </row>
    <row r="5" spans="1:11" ht="15.75">
      <c r="A5" s="34" t="s">
        <v>610</v>
      </c>
      <c r="B5" s="93"/>
      <c r="C5" s="93"/>
      <c r="D5" s="69"/>
      <c r="E5" s="69"/>
      <c r="F5" s="69"/>
      <c r="G5" s="69"/>
      <c r="H5" s="69"/>
      <c r="I5" s="69"/>
      <c r="J5" s="69"/>
      <c r="K5" s="69"/>
    </row>
    <row r="6" spans="1:11" ht="15.75">
      <c r="A6" s="222" t="s">
        <v>63</v>
      </c>
      <c r="B6" s="93"/>
      <c r="C6" s="93"/>
      <c r="D6" s="69"/>
      <c r="E6" s="69"/>
      <c r="F6" s="69"/>
      <c r="G6" s="69"/>
      <c r="H6" s="69"/>
      <c r="I6" s="69"/>
      <c r="J6" s="69"/>
      <c r="K6" s="69"/>
    </row>
    <row r="7" spans="1:11" ht="15.75">
      <c r="A7" s="15" t="s">
        <v>611</v>
      </c>
      <c r="B7" s="76">
        <v>2017</v>
      </c>
      <c r="C7" s="81">
        <v>5</v>
      </c>
      <c r="D7" s="223" t="s">
        <v>612</v>
      </c>
      <c r="E7" s="77">
        <v>12</v>
      </c>
      <c r="F7" s="224">
        <v>6250</v>
      </c>
      <c r="G7" s="98">
        <v>4800</v>
      </c>
      <c r="H7" s="224">
        <v>4800</v>
      </c>
      <c r="I7" s="98">
        <v>4500</v>
      </c>
      <c r="J7" s="224">
        <v>3000</v>
      </c>
      <c r="K7" s="98">
        <v>2500</v>
      </c>
    </row>
    <row r="8" spans="1:11" ht="15.75">
      <c r="A8" s="15" t="s">
        <v>611</v>
      </c>
      <c r="B8" s="76">
        <v>2016</v>
      </c>
      <c r="C8" s="81">
        <v>5</v>
      </c>
      <c r="D8" s="223" t="s">
        <v>612</v>
      </c>
      <c r="E8" s="77">
        <v>12</v>
      </c>
      <c r="F8" s="224">
        <v>6050</v>
      </c>
      <c r="G8" s="98">
        <v>4600</v>
      </c>
      <c r="H8" s="224">
        <v>4600</v>
      </c>
      <c r="I8" s="98">
        <v>4300</v>
      </c>
      <c r="J8" s="224">
        <v>2800</v>
      </c>
      <c r="K8" s="98">
        <v>2500</v>
      </c>
    </row>
    <row r="9" spans="1:11" ht="15.75">
      <c r="A9" s="15" t="s">
        <v>613</v>
      </c>
      <c r="B9" s="76">
        <v>2015</v>
      </c>
      <c r="C9" s="81">
        <v>5</v>
      </c>
      <c r="D9" s="223" t="s">
        <v>612</v>
      </c>
      <c r="E9" s="77">
        <v>12</v>
      </c>
      <c r="F9" s="224">
        <v>5900</v>
      </c>
      <c r="G9" s="98">
        <v>4500</v>
      </c>
      <c r="H9" s="224">
        <v>4500</v>
      </c>
      <c r="I9" s="98">
        <v>4200</v>
      </c>
      <c r="J9" s="224">
        <v>2700</v>
      </c>
      <c r="K9" s="98">
        <v>2500</v>
      </c>
    </row>
    <row r="10" spans="1:11" ht="15.75">
      <c r="A10" s="222" t="s">
        <v>5</v>
      </c>
      <c r="B10" s="93"/>
      <c r="C10" s="93"/>
      <c r="D10" s="69"/>
      <c r="E10" s="69"/>
      <c r="F10" s="69"/>
      <c r="G10" s="69"/>
      <c r="H10" s="69"/>
      <c r="I10" s="69"/>
      <c r="J10" s="69"/>
      <c r="K10" s="69"/>
    </row>
    <row r="11" spans="1:11" ht="15.75">
      <c r="A11" s="15" t="s">
        <v>614</v>
      </c>
      <c r="B11" s="76">
        <v>2016</v>
      </c>
      <c r="C11" s="81">
        <v>4</v>
      </c>
      <c r="D11" s="223" t="s">
        <v>615</v>
      </c>
      <c r="E11" s="77">
        <v>10</v>
      </c>
      <c r="F11" s="224">
        <v>4900</v>
      </c>
      <c r="G11" s="98">
        <v>3600</v>
      </c>
      <c r="H11" s="224">
        <v>3600</v>
      </c>
      <c r="I11" s="98">
        <v>3500</v>
      </c>
      <c r="J11" s="224">
        <v>2500</v>
      </c>
      <c r="K11" s="98">
        <v>2500</v>
      </c>
    </row>
    <row r="12" spans="1:11" ht="15.75">
      <c r="A12" s="15" t="s">
        <v>614</v>
      </c>
      <c r="B12" s="76">
        <v>2015</v>
      </c>
      <c r="C12" s="81">
        <v>4</v>
      </c>
      <c r="D12" s="223" t="s">
        <v>615</v>
      </c>
      <c r="E12" s="77">
        <v>10</v>
      </c>
      <c r="F12" s="224">
        <v>4700</v>
      </c>
      <c r="G12" s="98">
        <v>3400</v>
      </c>
      <c r="H12" s="224">
        <v>3400</v>
      </c>
      <c r="I12" s="98">
        <v>3300</v>
      </c>
      <c r="J12" s="224">
        <v>2300</v>
      </c>
      <c r="K12" s="98">
        <v>2500</v>
      </c>
    </row>
    <row r="13" spans="1:11" ht="15.75">
      <c r="A13" s="15" t="s">
        <v>614</v>
      </c>
      <c r="B13" s="76">
        <v>2014</v>
      </c>
      <c r="C13" s="81">
        <v>4</v>
      </c>
      <c r="D13" s="223" t="s">
        <v>615</v>
      </c>
      <c r="E13" s="77">
        <v>10</v>
      </c>
      <c r="F13" s="224">
        <v>4550</v>
      </c>
      <c r="G13" s="98">
        <v>3250</v>
      </c>
      <c r="H13" s="224">
        <v>3250</v>
      </c>
      <c r="I13" s="98">
        <v>3200</v>
      </c>
      <c r="J13" s="224">
        <v>2150</v>
      </c>
      <c r="K13" s="98">
        <v>2500</v>
      </c>
    </row>
    <row r="14" spans="1:11" ht="15.75">
      <c r="A14" s="13" t="s">
        <v>1</v>
      </c>
      <c r="B14" s="93"/>
      <c r="C14" s="93"/>
      <c r="D14" s="69"/>
      <c r="E14" s="69"/>
      <c r="F14" s="69"/>
      <c r="G14" s="69"/>
      <c r="H14" s="69"/>
      <c r="I14" s="69"/>
      <c r="J14" s="69"/>
      <c r="K14" s="69"/>
    </row>
    <row r="15" spans="1:11" ht="15.75">
      <c r="A15" s="15" t="s">
        <v>616</v>
      </c>
      <c r="B15" s="76">
        <v>2011</v>
      </c>
      <c r="C15" s="81">
        <v>3</v>
      </c>
      <c r="D15" s="223" t="s">
        <v>617</v>
      </c>
      <c r="E15" s="77">
        <v>8</v>
      </c>
      <c r="F15" s="224">
        <v>3500</v>
      </c>
      <c r="G15" s="98">
        <v>2500</v>
      </c>
      <c r="H15" s="224">
        <v>2500</v>
      </c>
      <c r="I15" s="98">
        <v>1900</v>
      </c>
      <c r="J15" s="224">
        <v>1800</v>
      </c>
      <c r="K15" s="98">
        <v>2500</v>
      </c>
    </row>
    <row r="16" spans="1:11" ht="15.75">
      <c r="A16" s="15" t="s">
        <v>618</v>
      </c>
      <c r="B16" s="76">
        <v>2011</v>
      </c>
      <c r="C16" s="81">
        <v>3</v>
      </c>
      <c r="D16" s="223" t="s">
        <v>617</v>
      </c>
      <c r="E16" s="77">
        <v>8</v>
      </c>
      <c r="F16" s="224">
        <v>3500</v>
      </c>
      <c r="G16" s="98">
        <v>2500</v>
      </c>
      <c r="H16" s="224">
        <v>2500</v>
      </c>
      <c r="I16" s="98">
        <v>1900</v>
      </c>
      <c r="J16" s="224">
        <v>1800</v>
      </c>
      <c r="K16" s="98">
        <v>2500</v>
      </c>
    </row>
    <row r="17" spans="1:11" ht="15.75">
      <c r="A17" s="279" t="s">
        <v>112</v>
      </c>
      <c r="B17" s="279"/>
      <c r="C17" s="279"/>
      <c r="D17" s="279"/>
      <c r="E17" s="279"/>
      <c r="F17" s="279"/>
      <c r="G17" s="279"/>
      <c r="H17" s="279"/>
      <c r="I17" s="12"/>
      <c r="J17" s="12"/>
      <c r="K17" s="12"/>
    </row>
    <row r="18" spans="1:11" ht="15.75">
      <c r="A18" s="567" t="s">
        <v>546</v>
      </c>
      <c r="B18" s="567"/>
      <c r="C18" s="567"/>
      <c r="D18" s="567"/>
      <c r="E18" s="567"/>
      <c r="F18" s="567"/>
      <c r="G18" s="567"/>
      <c r="H18" s="567"/>
      <c r="I18" s="567"/>
      <c r="J18" s="567"/>
      <c r="K18" s="567"/>
    </row>
    <row r="19" spans="1:11" ht="15.75">
      <c r="A19" s="96" t="s">
        <v>201</v>
      </c>
      <c r="B19" s="97"/>
      <c r="C19" s="97"/>
      <c r="D19" s="97"/>
      <c r="E19" s="12"/>
      <c r="F19" s="12"/>
      <c r="G19" s="12"/>
      <c r="H19" s="12"/>
      <c r="I19" s="12"/>
      <c r="J19" s="12"/>
      <c r="K19" s="12"/>
    </row>
    <row r="20" spans="1:11" ht="15.75">
      <c r="A20" s="23" t="s">
        <v>8</v>
      </c>
      <c r="B20" s="532" t="s">
        <v>211</v>
      </c>
      <c r="C20" s="532"/>
      <c r="D20" s="532"/>
      <c r="E20" s="532"/>
      <c r="F20" s="532"/>
      <c r="G20" s="532"/>
      <c r="H20" s="532"/>
      <c r="I20" s="532"/>
      <c r="J20" s="532"/>
      <c r="K20" s="532"/>
    </row>
    <row r="21" spans="1:11" ht="15.75">
      <c r="A21" s="78" t="s">
        <v>9</v>
      </c>
      <c r="B21" s="533" t="s">
        <v>619</v>
      </c>
      <c r="C21" s="533"/>
      <c r="D21" s="533"/>
      <c r="E21" s="533"/>
      <c r="F21" s="533"/>
      <c r="G21" s="533"/>
      <c r="H21" s="533"/>
      <c r="I21" s="533"/>
      <c r="J21" s="533"/>
      <c r="K21" s="533"/>
    </row>
    <row r="22" spans="1:11" ht="21">
      <c r="A22" s="79" t="s">
        <v>351</v>
      </c>
      <c r="B22" s="28"/>
      <c r="C22" s="28"/>
      <c r="D22" s="28"/>
      <c r="E22" s="28"/>
      <c r="F22" s="28"/>
      <c r="G22" s="28"/>
      <c r="H22" s="28"/>
      <c r="I22" s="80"/>
      <c r="J22" s="80"/>
      <c r="K22" s="80"/>
    </row>
    <row r="23" spans="1:11" ht="15.75">
      <c r="A23" s="367" t="s">
        <v>133</v>
      </c>
      <c r="B23" s="424" t="s">
        <v>620</v>
      </c>
      <c r="C23" s="424"/>
      <c r="D23" s="424"/>
      <c r="E23" s="424"/>
      <c r="F23" s="424"/>
      <c r="G23" s="424"/>
      <c r="H23" s="424"/>
      <c r="I23" s="424"/>
      <c r="J23" s="424"/>
      <c r="K23" s="424"/>
    </row>
    <row r="24" spans="1:11" ht="15.75">
      <c r="A24" s="351"/>
      <c r="B24" s="424" t="s">
        <v>621</v>
      </c>
      <c r="C24" s="424"/>
      <c r="D24" s="424"/>
      <c r="E24" s="424"/>
      <c r="F24" s="424"/>
      <c r="G24" s="424"/>
      <c r="H24" s="424"/>
      <c r="I24" s="424"/>
      <c r="J24" s="424"/>
      <c r="K24" s="424"/>
    </row>
    <row r="25" spans="1:11" ht="15.75">
      <c r="A25" s="281" t="s">
        <v>622</v>
      </c>
      <c r="B25" s="354" t="s">
        <v>623</v>
      </c>
      <c r="C25" s="354"/>
      <c r="D25" s="354"/>
      <c r="E25" s="354"/>
      <c r="F25" s="354"/>
      <c r="G25" s="354"/>
      <c r="H25" s="354"/>
      <c r="I25" s="354"/>
      <c r="J25" s="354"/>
      <c r="K25" s="354"/>
    </row>
    <row r="26" spans="1:11" ht="15.75">
      <c r="A26" s="278" t="s">
        <v>624</v>
      </c>
      <c r="B26" s="341" t="s">
        <v>625</v>
      </c>
      <c r="C26" s="343"/>
      <c r="D26" s="343"/>
      <c r="E26" s="343"/>
      <c r="F26" s="343"/>
      <c r="G26" s="343"/>
      <c r="H26" s="343"/>
      <c r="I26" s="343"/>
      <c r="J26" s="343"/>
      <c r="K26" s="344"/>
    </row>
    <row r="27" spans="1:11" ht="15.75">
      <c r="A27" s="529" t="s">
        <v>121</v>
      </c>
      <c r="B27" s="341" t="s">
        <v>626</v>
      </c>
      <c r="C27" s="342"/>
      <c r="D27" s="342"/>
      <c r="E27" s="342"/>
      <c r="F27" s="342"/>
      <c r="G27" s="342"/>
      <c r="H27" s="342"/>
      <c r="I27" s="342"/>
      <c r="J27" s="342"/>
      <c r="K27" s="460"/>
    </row>
    <row r="28" spans="1:11">
      <c r="A28" s="529"/>
      <c r="B28" s="341" t="s">
        <v>627</v>
      </c>
      <c r="C28" s="343"/>
      <c r="D28" s="343"/>
      <c r="E28" s="343"/>
      <c r="F28" s="343"/>
      <c r="G28" s="343"/>
      <c r="H28" s="343"/>
      <c r="I28" s="343"/>
      <c r="J28" s="343"/>
      <c r="K28" s="344"/>
    </row>
    <row r="29" spans="1:11">
      <c r="A29" s="529"/>
      <c r="B29" s="341" t="s">
        <v>628</v>
      </c>
      <c r="C29" s="343"/>
      <c r="D29" s="343"/>
      <c r="E29" s="343"/>
      <c r="F29" s="343"/>
      <c r="G29" s="343"/>
      <c r="H29" s="343"/>
      <c r="I29" s="343"/>
      <c r="J29" s="343"/>
      <c r="K29" s="344"/>
    </row>
    <row r="30" spans="1:11">
      <c r="A30" s="529"/>
      <c r="B30" s="341" t="s">
        <v>629</v>
      </c>
      <c r="C30" s="343"/>
      <c r="D30" s="343"/>
      <c r="E30" s="343"/>
      <c r="F30" s="343"/>
      <c r="G30" s="343"/>
      <c r="H30" s="343"/>
      <c r="I30" s="343"/>
      <c r="J30" s="343"/>
      <c r="K30" s="344"/>
    </row>
    <row r="31" spans="1:11" ht="21">
      <c r="A31" s="79" t="s">
        <v>100</v>
      </c>
      <c r="B31" s="28"/>
      <c r="C31" s="28"/>
      <c r="D31" s="28"/>
      <c r="E31" s="28"/>
      <c r="F31" s="28"/>
      <c r="G31" s="28"/>
      <c r="H31" s="28"/>
      <c r="I31" s="80"/>
      <c r="J31" s="80"/>
      <c r="K31" s="80"/>
    </row>
    <row r="32" spans="1:11" ht="15.75">
      <c r="A32" s="325" t="s">
        <v>2</v>
      </c>
      <c r="B32" s="339" t="s">
        <v>630</v>
      </c>
      <c r="C32" s="374"/>
      <c r="D32" s="374"/>
      <c r="E32" s="374"/>
      <c r="F32" s="374"/>
      <c r="G32" s="374"/>
      <c r="H32" s="374"/>
      <c r="I32" s="374"/>
      <c r="J32" s="374"/>
      <c r="K32" s="340"/>
    </row>
    <row r="33" spans="1:11" ht="15.75">
      <c r="A33" s="326"/>
      <c r="B33" s="302" t="s">
        <v>631</v>
      </c>
      <c r="C33" s="292"/>
      <c r="D33" s="292"/>
      <c r="E33" s="292"/>
      <c r="F33" s="292"/>
      <c r="G33" s="292"/>
      <c r="H33" s="292"/>
      <c r="I33" s="292"/>
      <c r="J33" s="292"/>
      <c r="K33" s="303"/>
    </row>
    <row r="34" spans="1:11" ht="15.75">
      <c r="A34" s="564" t="s">
        <v>101</v>
      </c>
      <c r="B34" s="339" t="s">
        <v>632</v>
      </c>
      <c r="C34" s="374"/>
      <c r="D34" s="374"/>
      <c r="E34" s="374"/>
      <c r="F34" s="340"/>
      <c r="G34" s="339" t="s">
        <v>633</v>
      </c>
      <c r="H34" s="294"/>
      <c r="I34" s="294"/>
      <c r="J34" s="294"/>
      <c r="K34" s="295"/>
    </row>
    <row r="35" spans="1:11" ht="15.75">
      <c r="A35" s="565"/>
      <c r="B35" s="339" t="s">
        <v>634</v>
      </c>
      <c r="C35" s="374"/>
      <c r="D35" s="374"/>
      <c r="E35" s="374"/>
      <c r="F35" s="340"/>
      <c r="G35" s="296"/>
      <c r="H35" s="297"/>
      <c r="I35" s="297"/>
      <c r="J35" s="297"/>
      <c r="K35" s="298"/>
    </row>
    <row r="36" spans="1:11" ht="15.75">
      <c r="A36" s="566"/>
      <c r="B36" s="339" t="s">
        <v>635</v>
      </c>
      <c r="C36" s="374"/>
      <c r="D36" s="374"/>
      <c r="E36" s="374"/>
      <c r="F36" s="340"/>
      <c r="G36" s="299"/>
      <c r="H36" s="300"/>
      <c r="I36" s="300"/>
      <c r="J36" s="300"/>
      <c r="K36" s="301"/>
    </row>
    <row r="37" spans="1:11" ht="15.75">
      <c r="A37" s="280" t="s">
        <v>124</v>
      </c>
      <c r="B37" s="424" t="s">
        <v>401</v>
      </c>
      <c r="C37" s="424"/>
      <c r="D37" s="424"/>
      <c r="E37" s="424"/>
      <c r="F37" s="424"/>
      <c r="G37" s="355"/>
      <c r="H37" s="355"/>
      <c r="I37" s="355"/>
      <c r="J37" s="355"/>
      <c r="K37" s="355"/>
    </row>
    <row r="38" spans="1:11" ht="15.75">
      <c r="A38" s="280" t="s">
        <v>106</v>
      </c>
      <c r="B38" s="424" t="s">
        <v>583</v>
      </c>
      <c r="C38" s="424"/>
      <c r="D38" s="424"/>
      <c r="E38" s="424"/>
      <c r="F38" s="424"/>
      <c r="G38" s="355"/>
      <c r="H38" s="355"/>
      <c r="I38" s="355"/>
      <c r="J38" s="355"/>
      <c r="K38" s="355"/>
    </row>
    <row r="39" spans="1:11" ht="15.75">
      <c r="A39" s="367" t="s">
        <v>105</v>
      </c>
      <c r="B39" s="339" t="s">
        <v>250</v>
      </c>
      <c r="C39" s="374"/>
      <c r="D39" s="374"/>
      <c r="E39" s="374"/>
      <c r="F39" s="374"/>
      <c r="G39" s="374"/>
      <c r="H39" s="374"/>
      <c r="I39" s="374"/>
      <c r="J39" s="374"/>
      <c r="K39" s="340"/>
    </row>
    <row r="40" spans="1:11" ht="15.75">
      <c r="A40" s="429"/>
      <c r="B40" s="347" t="s">
        <v>107</v>
      </c>
      <c r="C40" s="348"/>
      <c r="D40" s="348"/>
      <c r="E40" s="348"/>
      <c r="F40" s="348"/>
      <c r="G40" s="348"/>
      <c r="H40" s="348"/>
      <c r="I40" s="348"/>
      <c r="J40" s="348"/>
      <c r="K40" s="349"/>
    </row>
    <row r="41" spans="1:11" ht="15.75">
      <c r="A41" s="280" t="s">
        <v>102</v>
      </c>
      <c r="B41" s="424" t="s">
        <v>359</v>
      </c>
      <c r="C41" s="424"/>
      <c r="D41" s="424"/>
      <c r="E41" s="424"/>
      <c r="F41" s="424"/>
      <c r="G41" s="424"/>
      <c r="H41" s="424"/>
      <c r="I41" s="424"/>
      <c r="J41" s="424"/>
      <c r="K41" s="424"/>
    </row>
    <row r="42" spans="1:11" ht="15.75">
      <c r="A42" s="280" t="s">
        <v>75</v>
      </c>
      <c r="B42" s="424" t="s">
        <v>636</v>
      </c>
      <c r="C42" s="424"/>
      <c r="D42" s="424"/>
      <c r="E42" s="424"/>
      <c r="F42" s="424"/>
      <c r="G42" s="424"/>
      <c r="H42" s="424"/>
      <c r="I42" s="424"/>
      <c r="J42" s="424"/>
      <c r="K42" s="424"/>
    </row>
    <row r="43" spans="1:11">
      <c r="F43" s="3"/>
      <c r="G43" s="3"/>
      <c r="H43" s="3"/>
      <c r="I43" s="3"/>
    </row>
    <row r="44" spans="1:11">
      <c r="F44" s="3"/>
      <c r="G44" s="3"/>
      <c r="H44" s="3"/>
      <c r="I44" s="3"/>
    </row>
    <row r="45" spans="1:11">
      <c r="F45" s="3"/>
      <c r="G45" s="3"/>
      <c r="H45" s="3"/>
      <c r="I45" s="3"/>
    </row>
    <row r="46" spans="1:11">
      <c r="F46" s="3"/>
      <c r="G46" s="3"/>
      <c r="H46" s="3"/>
      <c r="I46" s="3"/>
    </row>
    <row r="47" spans="1:11">
      <c r="F47" s="3"/>
      <c r="G47" s="3"/>
      <c r="H47" s="3"/>
      <c r="I47" s="3"/>
    </row>
    <row r="48" spans="1:11">
      <c r="F48" s="3"/>
      <c r="G48" s="3"/>
      <c r="H48" s="3"/>
      <c r="I48" s="3"/>
    </row>
    <row r="49" spans="6:9">
      <c r="F49" s="3"/>
      <c r="G49" s="1"/>
      <c r="H49" s="3"/>
      <c r="I49" s="3"/>
    </row>
    <row r="50" spans="6:9">
      <c r="F50" s="3"/>
      <c r="G50" s="1"/>
      <c r="H50" s="3"/>
      <c r="I50" s="3"/>
    </row>
    <row r="51" spans="6:9">
      <c r="F51" s="3"/>
      <c r="G51" s="1"/>
      <c r="H51" s="3"/>
      <c r="I51" s="3"/>
    </row>
    <row r="52" spans="6:9">
      <c r="F52" s="3"/>
      <c r="G52" s="1"/>
      <c r="H52" s="3"/>
      <c r="I52" s="3"/>
    </row>
    <row r="53" spans="6:9">
      <c r="F53" s="3"/>
      <c r="G53" s="1"/>
      <c r="H53" s="3"/>
      <c r="I53" s="3"/>
    </row>
    <row r="54" spans="6:9">
      <c r="F54" s="3"/>
      <c r="G54" s="1"/>
      <c r="H54" s="3"/>
      <c r="I54" s="3"/>
    </row>
    <row r="55" spans="6:9">
      <c r="F55" s="3"/>
      <c r="G55" s="3"/>
      <c r="H55" s="3"/>
      <c r="I55" s="3"/>
    </row>
    <row r="56" spans="6:9">
      <c r="F56" s="3"/>
      <c r="G56" s="3"/>
      <c r="H56" s="3"/>
      <c r="I56" s="3"/>
    </row>
    <row r="57" spans="6:9">
      <c r="F57" s="3"/>
      <c r="G57" s="3"/>
      <c r="H57" s="3"/>
      <c r="I57" s="3"/>
    </row>
    <row r="58" spans="6:9">
      <c r="F58" s="3"/>
      <c r="G58" s="3"/>
      <c r="H58" s="3"/>
      <c r="I58" s="3"/>
    </row>
    <row r="59" spans="6:9">
      <c r="F59" s="3"/>
      <c r="G59" s="3"/>
      <c r="H59" s="3"/>
      <c r="I59" s="3"/>
    </row>
    <row r="60" spans="6:9">
      <c r="F60" s="3"/>
      <c r="G60" s="3"/>
      <c r="H60" s="3"/>
      <c r="I60" s="3"/>
    </row>
    <row r="61" spans="6:9">
      <c r="F61" s="3"/>
      <c r="G61" s="3"/>
      <c r="H61" s="3"/>
      <c r="I61" s="3"/>
    </row>
    <row r="62" spans="6:9">
      <c r="F62" s="3"/>
      <c r="G62" s="3"/>
      <c r="H62" s="3"/>
      <c r="I62" s="3"/>
    </row>
    <row r="63" spans="6:9">
      <c r="F63" s="3"/>
      <c r="G63" s="3"/>
      <c r="H63" s="3"/>
      <c r="I63" s="3"/>
    </row>
    <row r="64" spans="6:9">
      <c r="F64" s="3"/>
      <c r="G64" s="1"/>
      <c r="H64" s="3"/>
      <c r="I64" s="3"/>
    </row>
    <row r="65" spans="6:9">
      <c r="F65" s="3"/>
      <c r="G65" s="1"/>
      <c r="H65" s="3"/>
      <c r="I65" s="3"/>
    </row>
    <row r="66" spans="6:9">
      <c r="F66" s="3"/>
      <c r="G66" s="1"/>
      <c r="H66" s="3"/>
      <c r="I66" s="3"/>
    </row>
    <row r="67" spans="6:9">
      <c r="F67" s="3"/>
      <c r="G67" s="1"/>
      <c r="H67" s="3"/>
      <c r="I67" s="3"/>
    </row>
    <row r="68" spans="6:9">
      <c r="F68" s="3"/>
      <c r="G68" s="1"/>
      <c r="H68" s="3"/>
      <c r="I68" s="3"/>
    </row>
    <row r="69" spans="6:9">
      <c r="F69" s="3"/>
      <c r="G69" s="1"/>
      <c r="H69" s="3"/>
      <c r="I69" s="3"/>
    </row>
    <row r="70" spans="6:9">
      <c r="F70" s="3"/>
      <c r="G70" s="3"/>
      <c r="H70" s="3"/>
      <c r="I70" s="3"/>
    </row>
    <row r="71" spans="6:9">
      <c r="F71" s="3"/>
      <c r="G71" s="3"/>
      <c r="H71" s="3"/>
      <c r="I71" s="3"/>
    </row>
    <row r="72" spans="6:9">
      <c r="F72" s="3"/>
      <c r="G72" s="3"/>
      <c r="H72" s="3"/>
      <c r="I72" s="3"/>
    </row>
    <row r="73" spans="6:9">
      <c r="F73" s="3"/>
      <c r="G73" s="3"/>
      <c r="H73" s="3"/>
      <c r="I73" s="3"/>
    </row>
    <row r="74" spans="6:9">
      <c r="F74" s="3"/>
      <c r="G74" s="3"/>
      <c r="H74" s="3"/>
      <c r="I74" s="3"/>
    </row>
    <row r="75" spans="6:9">
      <c r="F75" s="3"/>
      <c r="G75" s="3"/>
      <c r="H75" s="3"/>
      <c r="I75" s="3"/>
    </row>
    <row r="76" spans="6:9">
      <c r="F76" s="3"/>
      <c r="G76" s="3"/>
      <c r="H76" s="3"/>
      <c r="I76" s="3"/>
    </row>
    <row r="77" spans="6:9">
      <c r="F77" s="3"/>
      <c r="G77" s="3"/>
      <c r="H77" s="3"/>
      <c r="I77" s="3"/>
    </row>
    <row r="78" spans="6:9">
      <c r="F78" s="3"/>
      <c r="G78" s="3"/>
      <c r="H78" s="3"/>
      <c r="I78" s="3"/>
    </row>
    <row r="79" spans="6:9">
      <c r="F79" s="3"/>
      <c r="G79" s="1"/>
      <c r="H79" s="3"/>
      <c r="I79" s="3"/>
    </row>
    <row r="80" spans="6:9">
      <c r="F80" s="3"/>
      <c r="G80" s="1"/>
      <c r="H80" s="3"/>
      <c r="I80" s="3"/>
    </row>
    <row r="81" spans="6:9">
      <c r="F81" s="3"/>
      <c r="G81" s="1"/>
      <c r="H81" s="3"/>
      <c r="I81" s="3"/>
    </row>
    <row r="82" spans="6:9">
      <c r="F82" s="3"/>
      <c r="G82" s="1"/>
      <c r="H82" s="3"/>
      <c r="I82" s="3"/>
    </row>
    <row r="83" spans="6:9">
      <c r="F83" s="3"/>
      <c r="G83" s="1"/>
      <c r="H83" s="3"/>
      <c r="I83" s="3"/>
    </row>
    <row r="84" spans="6:9">
      <c r="F84" s="3"/>
      <c r="G84" s="1"/>
      <c r="H84" s="3"/>
      <c r="I84" s="3"/>
    </row>
    <row r="85" spans="6:9">
      <c r="F85" s="3"/>
      <c r="G85" s="3"/>
      <c r="H85" s="3"/>
      <c r="I85" s="3"/>
    </row>
    <row r="86" spans="6:9">
      <c r="F86" s="3"/>
      <c r="G86" s="3"/>
      <c r="H86" s="3"/>
      <c r="I86" s="3"/>
    </row>
    <row r="87" spans="6:9">
      <c r="F87" s="3"/>
      <c r="G87" s="3"/>
      <c r="H87" s="3"/>
      <c r="I87" s="3"/>
    </row>
    <row r="88" spans="6:9">
      <c r="F88" s="3"/>
      <c r="G88" s="3"/>
      <c r="H88" s="3"/>
      <c r="I88" s="3"/>
    </row>
    <row r="89" spans="6:9">
      <c r="F89" s="3"/>
      <c r="G89" s="3"/>
      <c r="H89" s="3"/>
      <c r="I89" s="3"/>
    </row>
    <row r="90" spans="6:9">
      <c r="F90" s="3"/>
      <c r="G90" s="3"/>
      <c r="H90" s="3"/>
      <c r="I90" s="3"/>
    </row>
    <row r="91" spans="6:9">
      <c r="F91" s="3"/>
      <c r="G91" s="3"/>
      <c r="H91" s="3"/>
      <c r="I91" s="3"/>
    </row>
    <row r="92" spans="6:9">
      <c r="F92" s="3"/>
      <c r="G92" s="3"/>
      <c r="H92" s="3"/>
      <c r="I92" s="3"/>
    </row>
    <row r="93" spans="6:9">
      <c r="F93" s="3"/>
      <c r="G93" s="3"/>
      <c r="H93" s="3"/>
      <c r="I93" s="3"/>
    </row>
    <row r="94" spans="6:9">
      <c r="F94" s="3"/>
      <c r="G94" s="3"/>
      <c r="H94" s="3"/>
      <c r="I94" s="3"/>
    </row>
    <row r="95" spans="6:9">
      <c r="F95" s="3"/>
      <c r="G95" s="3"/>
      <c r="H95" s="3"/>
      <c r="I95" s="3"/>
    </row>
    <row r="96" spans="6:9">
      <c r="F96" s="3"/>
      <c r="G96" s="3"/>
      <c r="H96" s="3"/>
      <c r="I96" s="3"/>
    </row>
    <row r="97" spans="6:9">
      <c r="F97" s="3"/>
      <c r="G97" s="1"/>
      <c r="H97" s="3"/>
      <c r="I97" s="3"/>
    </row>
    <row r="98" spans="6:9">
      <c r="F98" s="3"/>
      <c r="G98" s="1"/>
      <c r="H98" s="3"/>
      <c r="I98" s="3"/>
    </row>
    <row r="99" spans="6:9">
      <c r="F99" s="3"/>
      <c r="G99" s="1"/>
      <c r="H99" s="3"/>
      <c r="I99" s="3"/>
    </row>
    <row r="100" spans="6:9">
      <c r="F100" s="3"/>
      <c r="G100" s="1"/>
      <c r="H100" s="3"/>
      <c r="I100" s="3"/>
    </row>
    <row r="101" spans="6:9">
      <c r="F101" s="3"/>
      <c r="G101" s="1"/>
      <c r="H101" s="3"/>
      <c r="I101" s="3"/>
    </row>
    <row r="102" spans="6:9">
      <c r="F102" s="3"/>
      <c r="G102" s="1"/>
      <c r="H102" s="3"/>
      <c r="I102" s="3"/>
    </row>
    <row r="103" spans="6:9">
      <c r="F103" s="3"/>
      <c r="G103" s="3"/>
      <c r="H103" s="3"/>
      <c r="I103" s="3"/>
    </row>
    <row r="104" spans="6:9">
      <c r="F104" s="3"/>
      <c r="G104" s="3"/>
      <c r="H104" s="3"/>
      <c r="I104" s="3"/>
    </row>
    <row r="105" spans="6:9">
      <c r="F105" s="3"/>
      <c r="G105" s="3"/>
      <c r="H105" s="3"/>
      <c r="I105" s="3"/>
    </row>
    <row r="106" spans="6:9">
      <c r="F106" s="3"/>
      <c r="G106" s="3"/>
      <c r="H106" s="3"/>
      <c r="I106" s="3"/>
    </row>
    <row r="107" spans="6:9">
      <c r="F107" s="3"/>
      <c r="G107" s="3"/>
      <c r="H107" s="3"/>
      <c r="I107" s="3"/>
    </row>
    <row r="108" spans="6:9">
      <c r="F108" s="3"/>
      <c r="G108" s="3"/>
      <c r="H108" s="3"/>
      <c r="I108" s="3"/>
    </row>
    <row r="109" spans="6:9">
      <c r="F109" s="3"/>
      <c r="G109" s="3"/>
      <c r="H109" s="3"/>
      <c r="I109" s="3"/>
    </row>
    <row r="110" spans="6:9">
      <c r="F110" s="3"/>
      <c r="G110" s="3"/>
      <c r="H110" s="3"/>
      <c r="I110" s="3"/>
    </row>
    <row r="111" spans="6:9">
      <c r="F111" s="3"/>
      <c r="G111" s="3"/>
      <c r="H111" s="3"/>
      <c r="I111" s="3"/>
    </row>
    <row r="112" spans="6:9">
      <c r="F112" s="3"/>
      <c r="G112" s="1"/>
      <c r="H112" s="3"/>
      <c r="I112" s="3"/>
    </row>
    <row r="113" spans="6:9">
      <c r="F113" s="3"/>
      <c r="G113" s="1"/>
      <c r="H113" s="3"/>
      <c r="I113" s="3"/>
    </row>
    <row r="114" spans="6:9">
      <c r="F114" s="3"/>
      <c r="G114" s="1"/>
      <c r="H114" s="3"/>
      <c r="I114" s="3"/>
    </row>
    <row r="115" spans="6:9">
      <c r="F115" s="3"/>
      <c r="G115" s="1"/>
      <c r="H115" s="3"/>
      <c r="I115" s="3"/>
    </row>
    <row r="116" spans="6:9">
      <c r="F116" s="3"/>
      <c r="G116" s="1"/>
      <c r="H116" s="3"/>
      <c r="I116" s="3"/>
    </row>
    <row r="117" spans="6:9">
      <c r="F117" s="3"/>
      <c r="G117" s="1"/>
      <c r="H117" s="3"/>
      <c r="I117" s="3"/>
    </row>
    <row r="118" spans="6:9">
      <c r="F118" s="3"/>
      <c r="G118" s="3"/>
      <c r="H118" s="3"/>
      <c r="I118" s="3"/>
    </row>
    <row r="119" spans="6:9">
      <c r="F119" s="3"/>
      <c r="G119" s="3"/>
      <c r="H119" s="3"/>
      <c r="I119" s="3"/>
    </row>
    <row r="120" spans="6:9">
      <c r="F120" s="3"/>
      <c r="G120" s="3"/>
      <c r="H120" s="3"/>
      <c r="I120" s="3"/>
    </row>
    <row r="121" spans="6:9">
      <c r="F121" s="3"/>
      <c r="G121" s="3"/>
      <c r="H121" s="3"/>
      <c r="I121" s="3"/>
    </row>
    <row r="122" spans="6:9">
      <c r="F122" s="3"/>
      <c r="G122" s="3"/>
      <c r="H122" s="3"/>
      <c r="I122" s="3"/>
    </row>
    <row r="123" spans="6:9">
      <c r="F123" s="3"/>
      <c r="G123" s="3"/>
      <c r="H123" s="3"/>
      <c r="I123" s="3"/>
    </row>
    <row r="124" spans="6:9">
      <c r="F124" s="3"/>
      <c r="G124" s="3"/>
      <c r="H124" s="3"/>
      <c r="I124" s="3"/>
    </row>
    <row r="125" spans="6:9">
      <c r="F125" s="3"/>
      <c r="G125" s="3"/>
      <c r="H125" s="3"/>
      <c r="I125" s="3"/>
    </row>
    <row r="126" spans="6:9">
      <c r="F126" s="3"/>
      <c r="G126" s="3"/>
      <c r="H126" s="3"/>
      <c r="I126" s="3"/>
    </row>
    <row r="127" spans="6:9">
      <c r="F127" s="3"/>
      <c r="G127" s="1"/>
      <c r="H127" s="3"/>
      <c r="I127" s="3"/>
    </row>
    <row r="128" spans="6:9">
      <c r="F128" s="3"/>
      <c r="G128" s="1"/>
      <c r="H128" s="3"/>
      <c r="I128" s="3"/>
    </row>
    <row r="129" spans="6:9">
      <c r="F129" s="3"/>
      <c r="G129" s="1"/>
      <c r="H129" s="3"/>
      <c r="I129" s="3"/>
    </row>
    <row r="130" spans="6:9">
      <c r="F130" s="3"/>
      <c r="G130" s="1"/>
      <c r="H130" s="3"/>
      <c r="I130" s="3"/>
    </row>
    <row r="131" spans="6:9">
      <c r="F131" s="3"/>
      <c r="G131" s="1"/>
      <c r="H131" s="3"/>
      <c r="I131" s="3"/>
    </row>
    <row r="132" spans="6:9">
      <c r="F132" s="3"/>
      <c r="G132" s="1"/>
      <c r="H132" s="3"/>
      <c r="I132" s="3"/>
    </row>
    <row r="133" spans="6:9">
      <c r="F133" s="3"/>
      <c r="G133" s="3"/>
      <c r="H133" s="3"/>
      <c r="I133" s="3"/>
    </row>
    <row r="134" spans="6:9">
      <c r="F134" s="3"/>
      <c r="G134" s="3"/>
      <c r="H134" s="3"/>
      <c r="I134" s="3"/>
    </row>
    <row r="135" spans="6:9">
      <c r="F135" s="3"/>
      <c r="G135" s="3"/>
      <c r="H135" s="3"/>
      <c r="I135" s="3"/>
    </row>
    <row r="136" spans="6:9">
      <c r="F136" s="3"/>
      <c r="G136" s="3"/>
      <c r="H136" s="3"/>
      <c r="I136" s="3"/>
    </row>
    <row r="137" spans="6:9">
      <c r="F137" s="3"/>
      <c r="G137" s="3"/>
      <c r="H137" s="3"/>
      <c r="I137" s="3"/>
    </row>
    <row r="138" spans="6:9">
      <c r="F138" s="3"/>
      <c r="G138" s="3"/>
      <c r="H138" s="3"/>
      <c r="I138" s="3"/>
    </row>
    <row r="139" spans="6:9">
      <c r="F139" s="3"/>
      <c r="G139" s="3"/>
      <c r="H139" s="3"/>
      <c r="I139" s="3"/>
    </row>
    <row r="140" spans="6:9">
      <c r="F140" s="3"/>
      <c r="G140" s="3"/>
      <c r="H140" s="3"/>
      <c r="I140" s="3"/>
    </row>
    <row r="141" spans="6:9">
      <c r="F141" s="3"/>
      <c r="G141" s="3"/>
      <c r="H141" s="3"/>
      <c r="I141" s="3"/>
    </row>
    <row r="142" spans="6:9">
      <c r="F142" s="3"/>
      <c r="G142" s="3"/>
      <c r="H142" s="3"/>
      <c r="I142" s="3"/>
    </row>
    <row r="143" spans="6:9">
      <c r="F143" s="3"/>
      <c r="G143" s="3"/>
      <c r="H143" s="3"/>
      <c r="I143" s="3"/>
    </row>
    <row r="144" spans="6:9">
      <c r="F144" s="3"/>
      <c r="G144" s="3"/>
      <c r="H144" s="3"/>
      <c r="I144" s="3"/>
    </row>
    <row r="145" spans="6:9">
      <c r="F145" s="3"/>
      <c r="G145" s="1"/>
      <c r="H145" s="3"/>
      <c r="I145" s="3"/>
    </row>
    <row r="146" spans="6:9">
      <c r="F146" s="3"/>
      <c r="G146" s="1"/>
      <c r="H146" s="3"/>
      <c r="I146" s="3"/>
    </row>
    <row r="147" spans="6:9">
      <c r="F147" s="3"/>
      <c r="G147" s="1"/>
      <c r="H147" s="3"/>
      <c r="I147" s="3"/>
    </row>
    <row r="148" spans="6:9">
      <c r="F148" s="3"/>
      <c r="G148" s="1"/>
      <c r="H148" s="3"/>
      <c r="I148" s="3"/>
    </row>
    <row r="149" spans="6:9">
      <c r="F149" s="3"/>
      <c r="G149" s="1"/>
      <c r="H149" s="3"/>
      <c r="I149" s="3"/>
    </row>
    <row r="150" spans="6:9">
      <c r="F150" s="3"/>
      <c r="G150" s="1"/>
      <c r="H150" s="3"/>
      <c r="I150" s="3"/>
    </row>
    <row r="151" spans="6:9">
      <c r="F151" s="3"/>
      <c r="G151" s="3"/>
      <c r="H151" s="3"/>
      <c r="I151" s="3"/>
    </row>
    <row r="152" spans="6:9">
      <c r="F152" s="3"/>
      <c r="G152" s="3"/>
      <c r="H152" s="3"/>
      <c r="I152" s="3"/>
    </row>
    <row r="153" spans="6:9">
      <c r="F153" s="3"/>
      <c r="G153" s="3"/>
      <c r="H153" s="3"/>
      <c r="I153" s="3"/>
    </row>
    <row r="154" spans="6:9">
      <c r="F154" s="3"/>
      <c r="G154" s="3"/>
      <c r="H154" s="3"/>
      <c r="I154" s="3"/>
    </row>
    <row r="155" spans="6:9">
      <c r="F155" s="3"/>
      <c r="G155" s="3"/>
      <c r="H155" s="3"/>
      <c r="I155" s="3"/>
    </row>
    <row r="156" spans="6:9">
      <c r="F156" s="3"/>
      <c r="G156" s="3"/>
      <c r="H156" s="3"/>
      <c r="I156" s="3"/>
    </row>
    <row r="157" spans="6:9">
      <c r="F157" s="3"/>
      <c r="G157" s="3"/>
      <c r="H157" s="3"/>
      <c r="I157" s="3"/>
    </row>
    <row r="158" spans="6:9">
      <c r="F158" s="3"/>
      <c r="G158" s="3"/>
      <c r="H158" s="3"/>
      <c r="I158" s="3"/>
    </row>
    <row r="159" spans="6:9">
      <c r="F159" s="3"/>
      <c r="G159" s="3"/>
      <c r="H159" s="3"/>
      <c r="I159" s="3"/>
    </row>
    <row r="160" spans="6:9">
      <c r="F160" s="3"/>
      <c r="G160" s="1"/>
      <c r="H160" s="3"/>
      <c r="I160" s="3"/>
    </row>
    <row r="161" spans="6:9">
      <c r="F161" s="3"/>
      <c r="G161" s="1"/>
      <c r="H161" s="3"/>
      <c r="I161" s="3"/>
    </row>
    <row r="162" spans="6:9">
      <c r="F162" s="3"/>
      <c r="G162" s="1"/>
      <c r="H162" s="3"/>
      <c r="I162" s="3"/>
    </row>
    <row r="163" spans="6:9">
      <c r="F163" s="3"/>
      <c r="G163" s="1"/>
      <c r="H163" s="3"/>
      <c r="I163" s="3"/>
    </row>
    <row r="164" spans="6:9">
      <c r="F164" s="3"/>
      <c r="G164" s="1"/>
      <c r="H164" s="3"/>
      <c r="I164" s="3"/>
    </row>
    <row r="165" spans="6:9">
      <c r="F165" s="3"/>
      <c r="G165" s="1"/>
      <c r="H165" s="3"/>
      <c r="I165" s="3"/>
    </row>
    <row r="166" spans="6:9">
      <c r="F166" s="3"/>
      <c r="G166" s="3"/>
      <c r="H166" s="3"/>
      <c r="I166" s="3"/>
    </row>
    <row r="167" spans="6:9">
      <c r="F167" s="3"/>
      <c r="G167" s="3"/>
      <c r="H167" s="3"/>
      <c r="I167" s="3"/>
    </row>
    <row r="168" spans="6:9">
      <c r="F168" s="3"/>
      <c r="G168" s="3"/>
      <c r="H168" s="3"/>
      <c r="I168" s="3"/>
    </row>
    <row r="169" spans="6:9">
      <c r="F169" s="3"/>
      <c r="G169" s="3"/>
      <c r="H169" s="3"/>
      <c r="I169" s="3"/>
    </row>
    <row r="170" spans="6:9">
      <c r="F170" s="3"/>
      <c r="G170" s="3"/>
      <c r="H170" s="3"/>
      <c r="I170" s="3"/>
    </row>
    <row r="171" spans="6:9">
      <c r="F171" s="3"/>
      <c r="G171" s="3"/>
      <c r="H171" s="3"/>
      <c r="I171" s="3"/>
    </row>
    <row r="172" spans="6:9">
      <c r="F172" s="3"/>
      <c r="G172" s="3"/>
      <c r="H172" s="3"/>
      <c r="I172" s="3"/>
    </row>
    <row r="173" spans="6:9">
      <c r="F173" s="3"/>
      <c r="G173" s="3"/>
      <c r="H173" s="3"/>
      <c r="I173" s="3"/>
    </row>
    <row r="174" spans="6:9">
      <c r="F174" s="3"/>
      <c r="G174" s="3"/>
      <c r="H174" s="3"/>
      <c r="I174" s="3"/>
    </row>
    <row r="175" spans="6:9">
      <c r="F175" s="3"/>
      <c r="G175" s="1"/>
      <c r="H175" s="3"/>
      <c r="I175" s="3"/>
    </row>
    <row r="176" spans="6:9">
      <c r="F176" s="3"/>
      <c r="G176" s="1"/>
      <c r="H176" s="3"/>
      <c r="I176" s="3"/>
    </row>
    <row r="177" spans="6:9">
      <c r="F177" s="3"/>
      <c r="G177" s="1"/>
      <c r="H177" s="3"/>
      <c r="I177" s="3"/>
    </row>
    <row r="178" spans="6:9">
      <c r="F178" s="3"/>
      <c r="G178" s="1"/>
      <c r="H178" s="3"/>
      <c r="I178" s="3"/>
    </row>
    <row r="179" spans="6:9">
      <c r="F179" s="3"/>
      <c r="G179" s="1"/>
      <c r="H179" s="3"/>
      <c r="I179" s="3"/>
    </row>
    <row r="180" spans="6:9">
      <c r="F180" s="3"/>
      <c r="G180" s="1"/>
      <c r="H180" s="3"/>
      <c r="I180" s="3"/>
    </row>
    <row r="181" spans="6:9">
      <c r="F181" s="3"/>
      <c r="G181" s="3"/>
      <c r="H181" s="3"/>
      <c r="I181" s="3"/>
    </row>
    <row r="182" spans="6:9">
      <c r="F182" s="3"/>
      <c r="G182" s="3"/>
      <c r="H182" s="3"/>
      <c r="I182" s="3"/>
    </row>
    <row r="183" spans="6:9">
      <c r="F183" s="3"/>
      <c r="G183" s="3"/>
      <c r="H183" s="3"/>
      <c r="I183" s="3"/>
    </row>
    <row r="184" spans="6:9">
      <c r="F184" s="3"/>
      <c r="G184" s="3"/>
      <c r="H184" s="3"/>
      <c r="I184" s="3"/>
    </row>
    <row r="185" spans="6:9">
      <c r="F185" s="3"/>
      <c r="G185" s="3"/>
      <c r="H185" s="3"/>
      <c r="I185" s="3"/>
    </row>
    <row r="186" spans="6:9">
      <c r="F186" s="3"/>
      <c r="G186" s="3"/>
      <c r="H186" s="3"/>
      <c r="I186" s="3"/>
    </row>
    <row r="187" spans="6:9">
      <c r="F187" s="3"/>
      <c r="G187" s="3"/>
      <c r="H187" s="3"/>
      <c r="I187" s="3"/>
    </row>
    <row r="188" spans="6:9">
      <c r="F188" s="3"/>
      <c r="G188" s="3"/>
      <c r="H188" s="3"/>
      <c r="I188" s="3"/>
    </row>
    <row r="189" spans="6:9">
      <c r="F189" s="3"/>
      <c r="G189" s="3"/>
      <c r="H189" s="3"/>
      <c r="I189" s="3"/>
    </row>
    <row r="190" spans="6:9">
      <c r="F190" s="3"/>
      <c r="G190" s="3"/>
      <c r="H190" s="3"/>
      <c r="I190" s="3"/>
    </row>
    <row r="191" spans="6:9">
      <c r="F191" s="3"/>
      <c r="G191" s="3"/>
      <c r="H191" s="3"/>
      <c r="I191" s="3"/>
    </row>
    <row r="192" spans="6:9">
      <c r="F192" s="3"/>
      <c r="G192" s="3"/>
      <c r="H192" s="3"/>
      <c r="I192" s="3"/>
    </row>
    <row r="193" spans="6:9">
      <c r="F193" s="3"/>
      <c r="G193" s="1"/>
      <c r="H193" s="3"/>
      <c r="I193" s="3"/>
    </row>
    <row r="194" spans="6:9">
      <c r="F194" s="3"/>
      <c r="G194" s="1"/>
      <c r="H194" s="3"/>
      <c r="I194" s="3"/>
    </row>
    <row r="195" spans="6:9">
      <c r="F195" s="3"/>
      <c r="G195" s="1"/>
      <c r="H195" s="3"/>
      <c r="I195" s="3"/>
    </row>
    <row r="196" spans="6:9">
      <c r="F196" s="3"/>
      <c r="G196" s="1"/>
      <c r="H196" s="3"/>
      <c r="I196" s="3"/>
    </row>
    <row r="197" spans="6:9">
      <c r="F197" s="3"/>
      <c r="G197" s="1"/>
      <c r="H197" s="3"/>
      <c r="I197" s="3"/>
    </row>
    <row r="198" spans="6:9">
      <c r="F198" s="3"/>
      <c r="G198" s="1"/>
      <c r="H198" s="3"/>
      <c r="I198" s="3"/>
    </row>
    <row r="199" spans="6:9">
      <c r="F199" s="3"/>
      <c r="G199" s="3"/>
      <c r="H199" s="3"/>
      <c r="I199" s="3"/>
    </row>
    <row r="200" spans="6:9">
      <c r="F200" s="3"/>
      <c r="G200" s="3"/>
      <c r="H200" s="3"/>
      <c r="I200" s="3"/>
    </row>
    <row r="201" spans="6:9">
      <c r="F201" s="3"/>
      <c r="G201" s="3"/>
      <c r="H201" s="3"/>
      <c r="I201" s="3"/>
    </row>
    <row r="202" spans="6:9">
      <c r="F202" s="3"/>
      <c r="G202" s="3"/>
      <c r="H202" s="3"/>
      <c r="I202" s="3"/>
    </row>
    <row r="203" spans="6:9">
      <c r="F203" s="3"/>
      <c r="G203" s="3"/>
      <c r="H203" s="3"/>
      <c r="I203" s="3"/>
    </row>
    <row r="204" spans="6:9">
      <c r="F204" s="3"/>
      <c r="G204" s="3"/>
      <c r="H204" s="3"/>
      <c r="I204" s="3"/>
    </row>
    <row r="205" spans="6:9">
      <c r="F205" s="3"/>
      <c r="G205" s="3"/>
      <c r="H205" s="3"/>
      <c r="I205" s="3"/>
    </row>
    <row r="206" spans="6:9">
      <c r="F206" s="3"/>
      <c r="G206" s="3"/>
      <c r="H206" s="3"/>
      <c r="I206" s="3"/>
    </row>
    <row r="207" spans="6:9">
      <c r="F207" s="3"/>
      <c r="G207" s="3"/>
      <c r="H207" s="3"/>
      <c r="I207" s="3"/>
    </row>
    <row r="208" spans="6:9">
      <c r="F208" s="3"/>
      <c r="G208" s="1"/>
      <c r="H208" s="3"/>
      <c r="I208" s="3"/>
    </row>
    <row r="209" spans="6:9">
      <c r="F209" s="3"/>
      <c r="G209" s="1"/>
      <c r="H209" s="3"/>
      <c r="I209" s="3"/>
    </row>
    <row r="210" spans="6:9">
      <c r="F210" s="3"/>
      <c r="G210" s="1"/>
      <c r="H210" s="3"/>
      <c r="I210" s="3"/>
    </row>
    <row r="211" spans="6:9">
      <c r="F211" s="3"/>
      <c r="G211" s="1"/>
      <c r="H211" s="3"/>
      <c r="I211" s="3"/>
    </row>
    <row r="212" spans="6:9">
      <c r="F212" s="3"/>
      <c r="G212" s="1"/>
      <c r="H212" s="3"/>
      <c r="I212" s="3"/>
    </row>
    <row r="213" spans="6:9">
      <c r="F213" s="3"/>
      <c r="G213" s="1"/>
      <c r="H213" s="3"/>
      <c r="I213" s="3"/>
    </row>
    <row r="214" spans="6:9">
      <c r="F214" s="3"/>
      <c r="G214" s="3"/>
      <c r="H214" s="3"/>
      <c r="I214" s="3"/>
    </row>
    <row r="215" spans="6:9">
      <c r="F215" s="3"/>
      <c r="G215" s="3"/>
      <c r="H215" s="3"/>
      <c r="I215" s="3"/>
    </row>
    <row r="216" spans="6:9">
      <c r="F216" s="3"/>
      <c r="G216" s="3"/>
      <c r="H216" s="3"/>
      <c r="I216" s="3"/>
    </row>
    <row r="217" spans="6:9">
      <c r="F217" s="3"/>
      <c r="G217" s="3"/>
      <c r="H217" s="3"/>
      <c r="I217" s="3"/>
    </row>
    <row r="218" spans="6:9">
      <c r="F218" s="3"/>
      <c r="G218" s="3"/>
      <c r="H218" s="3"/>
      <c r="I218" s="3"/>
    </row>
    <row r="219" spans="6:9">
      <c r="F219" s="3"/>
      <c r="G219" s="3"/>
      <c r="H219" s="3"/>
      <c r="I219" s="3"/>
    </row>
    <row r="220" spans="6:9">
      <c r="F220" s="3"/>
      <c r="G220" s="3"/>
      <c r="H220" s="3"/>
      <c r="I220" s="3"/>
    </row>
    <row r="221" spans="6:9">
      <c r="F221" s="3"/>
      <c r="G221" s="3"/>
      <c r="H221" s="3"/>
      <c r="I221" s="3"/>
    </row>
    <row r="222" spans="6:9">
      <c r="F222" s="3"/>
      <c r="G222" s="3"/>
      <c r="H222" s="3"/>
      <c r="I222" s="3"/>
    </row>
    <row r="223" spans="6:9">
      <c r="F223" s="3"/>
      <c r="G223" s="1"/>
      <c r="H223" s="3"/>
      <c r="I223" s="3"/>
    </row>
    <row r="224" spans="6:9">
      <c r="F224" s="3"/>
      <c r="G224" s="1"/>
      <c r="H224" s="3"/>
      <c r="I224" s="3"/>
    </row>
    <row r="225" spans="6:9">
      <c r="F225" s="3"/>
      <c r="G225" s="1"/>
      <c r="H225" s="3"/>
      <c r="I225" s="3"/>
    </row>
    <row r="226" spans="6:9">
      <c r="F226" s="3"/>
      <c r="G226" s="1"/>
      <c r="H226" s="3"/>
      <c r="I226" s="3"/>
    </row>
    <row r="227" spans="6:9">
      <c r="F227" s="3"/>
      <c r="G227" s="1"/>
      <c r="H227" s="3"/>
      <c r="I227" s="3"/>
    </row>
    <row r="228" spans="6:9">
      <c r="F228" s="3"/>
      <c r="G228" s="1"/>
      <c r="H228" s="3"/>
      <c r="I228" s="3"/>
    </row>
    <row r="229" spans="6:9">
      <c r="F229" s="3"/>
      <c r="G229" s="3"/>
      <c r="H229" s="3"/>
      <c r="I229" s="3"/>
    </row>
    <row r="230" spans="6:9">
      <c r="F230" s="3"/>
      <c r="G230" s="3"/>
      <c r="H230" s="3"/>
      <c r="I230" s="3"/>
    </row>
    <row r="231" spans="6:9">
      <c r="F231" s="3"/>
      <c r="G231" s="3"/>
      <c r="H231" s="3"/>
      <c r="I231" s="3"/>
    </row>
    <row r="232" spans="6:9">
      <c r="F232" s="3"/>
      <c r="G232" s="3"/>
      <c r="H232" s="3"/>
      <c r="I232" s="3"/>
    </row>
    <row r="233" spans="6:9">
      <c r="F233" s="3"/>
      <c r="G233" s="3"/>
      <c r="H233" s="3"/>
      <c r="I233" s="3"/>
    </row>
    <row r="234" spans="6:9">
      <c r="F234" s="3"/>
      <c r="G234" s="3"/>
      <c r="H234" s="3"/>
      <c r="I234" s="3"/>
    </row>
    <row r="235" spans="6:9">
      <c r="F235" s="3"/>
      <c r="G235" s="3"/>
      <c r="H235" s="3"/>
      <c r="I235" s="3"/>
    </row>
    <row r="236" spans="6:9">
      <c r="F236" s="3"/>
      <c r="G236" s="3"/>
      <c r="H236" s="3"/>
      <c r="I236" s="3"/>
    </row>
    <row r="237" spans="6:9">
      <c r="F237" s="3"/>
      <c r="G237" s="3"/>
      <c r="H237" s="3"/>
      <c r="I237" s="3"/>
    </row>
    <row r="238" spans="6:9">
      <c r="F238" s="3"/>
      <c r="G238" s="3"/>
      <c r="H238" s="3"/>
      <c r="I238" s="3"/>
    </row>
    <row r="239" spans="6:9">
      <c r="F239" s="3"/>
      <c r="G239" s="3"/>
      <c r="H239" s="3"/>
      <c r="I239" s="3"/>
    </row>
    <row r="240" spans="6:9">
      <c r="F240" s="3"/>
      <c r="G240" s="3"/>
      <c r="H240" s="3"/>
      <c r="I240" s="3"/>
    </row>
    <row r="241" spans="6:9">
      <c r="F241" s="3"/>
      <c r="G241" s="1"/>
      <c r="H241" s="3"/>
      <c r="I241" s="3"/>
    </row>
    <row r="242" spans="6:9">
      <c r="F242" s="3"/>
      <c r="G242" s="1"/>
      <c r="H242" s="3"/>
      <c r="I242" s="3"/>
    </row>
    <row r="243" spans="6:9">
      <c r="F243" s="3"/>
      <c r="G243" s="1"/>
      <c r="H243" s="3"/>
      <c r="I243" s="3"/>
    </row>
    <row r="244" spans="6:9">
      <c r="F244" s="3"/>
      <c r="G244" s="1"/>
      <c r="H244" s="3"/>
      <c r="I244" s="3"/>
    </row>
    <row r="245" spans="6:9">
      <c r="F245" s="3"/>
      <c r="G245" s="1"/>
      <c r="H245" s="3"/>
      <c r="I245" s="3"/>
    </row>
    <row r="246" spans="6:9">
      <c r="F246" s="3"/>
      <c r="G246" s="1"/>
      <c r="H246" s="3"/>
      <c r="I246" s="3"/>
    </row>
    <row r="247" spans="6:9">
      <c r="F247" s="3"/>
      <c r="G247" s="3"/>
      <c r="H247" s="3"/>
      <c r="I247" s="3"/>
    </row>
    <row r="248" spans="6:9">
      <c r="F248" s="3"/>
      <c r="G248" s="3"/>
      <c r="H248" s="3"/>
      <c r="I248" s="3"/>
    </row>
    <row r="249" spans="6:9">
      <c r="F249" s="3"/>
      <c r="G249" s="3"/>
      <c r="H249" s="3"/>
      <c r="I249" s="3"/>
    </row>
    <row r="250" spans="6:9">
      <c r="F250" s="3"/>
      <c r="G250" s="3"/>
      <c r="H250" s="3"/>
      <c r="I250" s="3"/>
    </row>
    <row r="251" spans="6:9">
      <c r="F251" s="3"/>
      <c r="G251" s="3"/>
      <c r="H251" s="3"/>
      <c r="I251" s="3"/>
    </row>
    <row r="252" spans="6:9">
      <c r="F252" s="3"/>
      <c r="G252" s="3"/>
      <c r="H252" s="3"/>
      <c r="I252" s="3"/>
    </row>
    <row r="253" spans="6:9">
      <c r="F253" s="3"/>
      <c r="G253" s="3"/>
      <c r="H253" s="3"/>
      <c r="I253" s="3"/>
    </row>
    <row r="254" spans="6:9">
      <c r="F254" s="3"/>
      <c r="G254" s="3"/>
      <c r="H254" s="3"/>
      <c r="I254" s="3"/>
    </row>
    <row r="255" spans="6:9">
      <c r="F255" s="3"/>
      <c r="G255" s="3"/>
      <c r="H255" s="3"/>
      <c r="I255" s="3"/>
    </row>
    <row r="256" spans="6:9">
      <c r="F256" s="3"/>
      <c r="G256" s="1"/>
      <c r="H256" s="3"/>
      <c r="I256" s="3"/>
    </row>
    <row r="257" spans="6:9">
      <c r="F257" s="3"/>
      <c r="G257" s="1"/>
      <c r="H257" s="3"/>
      <c r="I257" s="3"/>
    </row>
    <row r="258" spans="6:9">
      <c r="F258" s="3"/>
      <c r="G258" s="1"/>
      <c r="H258" s="3"/>
      <c r="I258" s="3"/>
    </row>
    <row r="259" spans="6:9">
      <c r="F259" s="3"/>
      <c r="G259" s="1"/>
      <c r="H259" s="3"/>
      <c r="I259" s="3"/>
    </row>
    <row r="260" spans="6:9">
      <c r="F260" s="3"/>
      <c r="G260" s="1"/>
      <c r="H260" s="3"/>
      <c r="I260" s="3"/>
    </row>
    <row r="261" spans="6:9">
      <c r="F261" s="3"/>
      <c r="G261" s="1"/>
      <c r="H261" s="3"/>
      <c r="I261" s="3"/>
    </row>
    <row r="262" spans="6:9">
      <c r="F262" s="3"/>
      <c r="G262" s="3"/>
      <c r="H262" s="3"/>
      <c r="I262" s="3"/>
    </row>
    <row r="263" spans="6:9">
      <c r="F263" s="3"/>
      <c r="G263" s="3"/>
      <c r="H263" s="3"/>
      <c r="I263" s="3"/>
    </row>
    <row r="264" spans="6:9">
      <c r="F264" s="3"/>
      <c r="G264" s="3"/>
      <c r="H264" s="3"/>
      <c r="I264" s="3"/>
    </row>
    <row r="265" spans="6:9">
      <c r="F265" s="3"/>
      <c r="G265" s="3"/>
      <c r="H265" s="3"/>
      <c r="I265" s="3"/>
    </row>
    <row r="266" spans="6:9">
      <c r="F266" s="3"/>
      <c r="G266" s="3"/>
      <c r="H266" s="3"/>
      <c r="I266" s="3"/>
    </row>
    <row r="267" spans="6:9">
      <c r="F267" s="3"/>
      <c r="G267" s="3"/>
      <c r="H267" s="3"/>
      <c r="I267" s="3"/>
    </row>
    <row r="268" spans="6:9">
      <c r="F268" s="3"/>
      <c r="G268" s="3"/>
      <c r="H268" s="3"/>
      <c r="I268" s="3"/>
    </row>
    <row r="269" spans="6:9">
      <c r="F269" s="3"/>
      <c r="G269" s="3"/>
      <c r="H269" s="3"/>
      <c r="I269" s="3"/>
    </row>
    <row r="270" spans="6:9">
      <c r="F270" s="3"/>
      <c r="G270" s="3"/>
      <c r="H270" s="3"/>
      <c r="I270" s="3"/>
    </row>
    <row r="271" spans="6:9">
      <c r="F271" s="3"/>
      <c r="G271" s="1"/>
      <c r="H271" s="3"/>
      <c r="I271" s="3"/>
    </row>
    <row r="272" spans="6:9">
      <c r="F272" s="3"/>
      <c r="G272" s="1"/>
      <c r="H272" s="3"/>
      <c r="I272" s="3"/>
    </row>
    <row r="273" spans="6:9">
      <c r="F273" s="3"/>
      <c r="G273" s="1"/>
      <c r="H273" s="3"/>
      <c r="I273" s="3"/>
    </row>
    <row r="274" spans="6:9">
      <c r="F274" s="3"/>
      <c r="G274" s="1"/>
      <c r="H274" s="3"/>
      <c r="I274" s="3"/>
    </row>
    <row r="275" spans="6:9">
      <c r="F275" s="3"/>
      <c r="G275" s="1"/>
      <c r="H275" s="3"/>
      <c r="I275" s="3"/>
    </row>
    <row r="276" spans="6:9">
      <c r="F276" s="3"/>
      <c r="G276" s="1"/>
      <c r="H276" s="3"/>
      <c r="I276" s="3"/>
    </row>
    <row r="277" spans="6:9">
      <c r="F277" s="3"/>
      <c r="G277" s="3"/>
      <c r="H277" s="3"/>
      <c r="I277" s="3"/>
    </row>
    <row r="278" spans="6:9">
      <c r="F278" s="3"/>
      <c r="G278" s="3"/>
      <c r="H278" s="3"/>
      <c r="I278" s="3"/>
    </row>
    <row r="279" spans="6:9">
      <c r="F279" s="3"/>
      <c r="G279" s="3"/>
      <c r="H279" s="3"/>
      <c r="I279" s="3"/>
    </row>
    <row r="280" spans="6:9">
      <c r="F280" s="3"/>
      <c r="G280" s="3"/>
      <c r="H280" s="3"/>
      <c r="I280" s="3"/>
    </row>
    <row r="281" spans="6:9">
      <c r="F281" s="3"/>
      <c r="G281" s="3"/>
      <c r="H281" s="3"/>
      <c r="I281" s="3"/>
    </row>
    <row r="282" spans="6:9">
      <c r="F282" s="3"/>
      <c r="G282" s="3"/>
      <c r="H282" s="3"/>
      <c r="I282" s="3"/>
    </row>
    <row r="283" spans="6:9">
      <c r="F283" s="3"/>
      <c r="G283" s="3"/>
      <c r="H283" s="3"/>
      <c r="I283" s="3"/>
    </row>
    <row r="284" spans="6:9">
      <c r="F284" s="3"/>
      <c r="G284" s="3"/>
      <c r="H284" s="3"/>
      <c r="I284" s="3"/>
    </row>
    <row r="285" spans="6:9">
      <c r="F285" s="3"/>
      <c r="G285" s="3"/>
      <c r="H285" s="3"/>
      <c r="I285" s="3"/>
    </row>
    <row r="286" spans="6:9">
      <c r="F286" s="3"/>
      <c r="G286" s="3"/>
      <c r="H286" s="3"/>
      <c r="I286" s="3"/>
    </row>
    <row r="287" spans="6:9">
      <c r="F287" s="3"/>
      <c r="G287" s="3"/>
      <c r="H287" s="3"/>
      <c r="I287" s="3"/>
    </row>
    <row r="288" spans="6:9">
      <c r="F288" s="3"/>
      <c r="G288" s="3"/>
      <c r="H288" s="3"/>
      <c r="I288" s="3"/>
    </row>
    <row r="289" spans="6:9">
      <c r="F289" s="3"/>
      <c r="G289" s="1"/>
      <c r="H289" s="3"/>
      <c r="I289" s="3"/>
    </row>
    <row r="290" spans="6:9">
      <c r="F290" s="3"/>
      <c r="G290" s="1"/>
      <c r="H290" s="3"/>
      <c r="I290" s="3"/>
    </row>
    <row r="291" spans="6:9">
      <c r="F291" s="3"/>
      <c r="G291" s="1"/>
      <c r="H291" s="3"/>
      <c r="I291" s="3"/>
    </row>
    <row r="292" spans="6:9">
      <c r="F292" s="3"/>
      <c r="G292" s="1"/>
      <c r="H292" s="3"/>
      <c r="I292" s="3"/>
    </row>
    <row r="293" spans="6:9">
      <c r="F293" s="3"/>
      <c r="G293" s="1"/>
      <c r="H293" s="3"/>
      <c r="I293" s="3"/>
    </row>
    <row r="294" spans="6:9">
      <c r="F294" s="3"/>
      <c r="G294" s="1"/>
      <c r="H294" s="3"/>
      <c r="I294" s="3"/>
    </row>
    <row r="295" spans="6:9">
      <c r="F295" s="3"/>
      <c r="G295" s="3"/>
      <c r="H295" s="3"/>
      <c r="I295" s="3"/>
    </row>
    <row r="296" spans="6:9">
      <c r="F296" s="3"/>
      <c r="G296" s="3"/>
      <c r="H296" s="3"/>
      <c r="I296" s="3"/>
    </row>
    <row r="297" spans="6:9">
      <c r="F297" s="3"/>
      <c r="G297" s="3"/>
      <c r="H297" s="3"/>
      <c r="I297" s="3"/>
    </row>
    <row r="298" spans="6:9">
      <c r="F298" s="3"/>
      <c r="G298" s="3"/>
      <c r="H298" s="3"/>
      <c r="I298" s="3"/>
    </row>
    <row r="299" spans="6:9">
      <c r="F299" s="3"/>
      <c r="G299" s="3"/>
      <c r="H299" s="3"/>
      <c r="I299" s="3"/>
    </row>
    <row r="300" spans="6:9">
      <c r="F300" s="3"/>
      <c r="G300" s="3"/>
      <c r="H300" s="3"/>
      <c r="I300" s="3"/>
    </row>
    <row r="301" spans="6:9">
      <c r="F301" s="3"/>
      <c r="G301" s="3"/>
      <c r="H301" s="3"/>
      <c r="I301" s="3"/>
    </row>
    <row r="302" spans="6:9">
      <c r="F302" s="3"/>
      <c r="G302" s="3"/>
      <c r="H302" s="3"/>
      <c r="I302" s="3"/>
    </row>
    <row r="303" spans="6:9">
      <c r="F303" s="3"/>
      <c r="G303" s="3"/>
      <c r="H303" s="3"/>
      <c r="I303" s="3"/>
    </row>
    <row r="304" spans="6:9">
      <c r="F304" s="3"/>
      <c r="G304" s="1"/>
      <c r="H304" s="3"/>
      <c r="I304" s="3"/>
    </row>
    <row r="305" spans="6:9">
      <c r="F305" s="3"/>
      <c r="G305" s="1"/>
      <c r="H305" s="3"/>
      <c r="I305" s="3"/>
    </row>
    <row r="306" spans="6:9">
      <c r="F306" s="3"/>
      <c r="G306" s="1"/>
      <c r="H306" s="3"/>
      <c r="I306" s="3"/>
    </row>
    <row r="307" spans="6:9">
      <c r="F307" s="3"/>
      <c r="G307" s="1"/>
      <c r="H307" s="3"/>
      <c r="I307" s="3"/>
    </row>
    <row r="308" spans="6:9">
      <c r="F308" s="3"/>
      <c r="G308" s="1"/>
      <c r="H308" s="3"/>
      <c r="I308" s="3"/>
    </row>
    <row r="309" spans="6:9">
      <c r="F309" s="3"/>
      <c r="G309" s="1"/>
      <c r="H309" s="3"/>
      <c r="I309" s="3"/>
    </row>
    <row r="310" spans="6:9">
      <c r="F310" s="3"/>
      <c r="G310" s="3"/>
      <c r="H310" s="3"/>
      <c r="I310" s="3"/>
    </row>
    <row r="311" spans="6:9">
      <c r="F311" s="3"/>
      <c r="G311" s="3"/>
      <c r="H311" s="3"/>
      <c r="I311" s="3"/>
    </row>
    <row r="312" spans="6:9">
      <c r="F312" s="3"/>
      <c r="G312" s="3"/>
      <c r="H312" s="3"/>
      <c r="I312" s="3"/>
    </row>
    <row r="313" spans="6:9">
      <c r="F313" s="3"/>
      <c r="G313" s="3"/>
      <c r="H313" s="3"/>
      <c r="I313" s="3"/>
    </row>
    <row r="314" spans="6:9">
      <c r="F314" s="3"/>
      <c r="G314" s="3"/>
      <c r="H314" s="3"/>
      <c r="I314" s="3"/>
    </row>
    <row r="315" spans="6:9">
      <c r="F315" s="3"/>
      <c r="G315" s="3"/>
      <c r="H315" s="3"/>
      <c r="I315" s="3"/>
    </row>
    <row r="316" spans="6:9">
      <c r="F316" s="3"/>
      <c r="G316" s="3"/>
      <c r="H316" s="3"/>
      <c r="I316" s="3"/>
    </row>
    <row r="317" spans="6:9">
      <c r="F317" s="3"/>
      <c r="G317" s="3"/>
      <c r="H317" s="3"/>
      <c r="I317" s="3"/>
    </row>
    <row r="318" spans="6:9">
      <c r="F318" s="3"/>
      <c r="G318" s="3"/>
      <c r="H318" s="3"/>
      <c r="I318" s="3"/>
    </row>
    <row r="319" spans="6:9">
      <c r="F319" s="3"/>
      <c r="G319" s="1"/>
      <c r="H319" s="3"/>
      <c r="I319" s="3"/>
    </row>
    <row r="320" spans="6:9">
      <c r="F320" s="3"/>
      <c r="G320" s="1"/>
      <c r="H320" s="3"/>
      <c r="I320" s="3"/>
    </row>
    <row r="321" spans="6:9">
      <c r="F321" s="3"/>
      <c r="G321" s="1"/>
      <c r="H321" s="3"/>
      <c r="I321" s="3"/>
    </row>
    <row r="322" spans="6:9">
      <c r="F322" s="3"/>
      <c r="G322" s="1"/>
      <c r="H322" s="3"/>
      <c r="I322" s="3"/>
    </row>
    <row r="323" spans="6:9">
      <c r="F323" s="3"/>
      <c r="G323" s="1"/>
      <c r="H323" s="3"/>
      <c r="I323" s="3"/>
    </row>
    <row r="324" spans="6:9">
      <c r="F324" s="3"/>
      <c r="G324" s="1"/>
      <c r="H324" s="3"/>
      <c r="I324" s="3"/>
    </row>
    <row r="325" spans="6:9">
      <c r="F325" s="3"/>
      <c r="G325" s="3"/>
      <c r="H325" s="3"/>
      <c r="I325" s="3"/>
    </row>
    <row r="326" spans="6:9">
      <c r="F326" s="3"/>
      <c r="G326" s="3"/>
      <c r="H326" s="3"/>
      <c r="I326" s="3"/>
    </row>
    <row r="327" spans="6:9">
      <c r="F327" s="3"/>
      <c r="G327" s="3"/>
      <c r="H327" s="3"/>
      <c r="I327" s="3"/>
    </row>
    <row r="328" spans="6:9">
      <c r="F328" s="3"/>
      <c r="G328" s="3"/>
      <c r="H328" s="3"/>
      <c r="I328" s="3"/>
    </row>
    <row r="329" spans="6:9">
      <c r="F329" s="3"/>
      <c r="G329" s="3"/>
      <c r="H329" s="3"/>
      <c r="I329" s="3"/>
    </row>
    <row r="330" spans="6:9">
      <c r="F330" s="3"/>
      <c r="G330" s="3"/>
      <c r="H330" s="3"/>
      <c r="I330" s="3"/>
    </row>
    <row r="331" spans="6:9">
      <c r="F331" s="3"/>
      <c r="G331" s="3"/>
      <c r="H331" s="3"/>
      <c r="I331" s="3"/>
    </row>
    <row r="332" spans="6:9">
      <c r="F332" s="3"/>
      <c r="G332" s="3"/>
      <c r="H332" s="3"/>
      <c r="I332" s="3"/>
    </row>
    <row r="333" spans="6:9">
      <c r="F333" s="3"/>
      <c r="G333" s="3"/>
      <c r="H333" s="3"/>
      <c r="I333" s="3"/>
    </row>
    <row r="334" spans="6:9">
      <c r="F334" s="3"/>
      <c r="G334" s="3"/>
      <c r="H334" s="3"/>
      <c r="I334" s="3"/>
    </row>
    <row r="335" spans="6:9">
      <c r="F335" s="3"/>
      <c r="G335" s="3"/>
      <c r="H335" s="3"/>
      <c r="I335" s="3"/>
    </row>
    <row r="336" spans="6:9">
      <c r="F336" s="3"/>
      <c r="G336" s="3"/>
      <c r="H336" s="3"/>
      <c r="I336" s="3"/>
    </row>
    <row r="337" spans="6:9">
      <c r="F337" s="3"/>
      <c r="G337" s="1"/>
      <c r="H337" s="3"/>
      <c r="I337" s="3"/>
    </row>
    <row r="338" spans="6:9">
      <c r="F338" s="3"/>
      <c r="G338" s="1"/>
      <c r="H338" s="3"/>
      <c r="I338" s="3"/>
    </row>
    <row r="339" spans="6:9">
      <c r="F339" s="3"/>
      <c r="G339" s="1"/>
      <c r="H339" s="3"/>
      <c r="I339" s="3"/>
    </row>
    <row r="340" spans="6:9">
      <c r="F340" s="3"/>
      <c r="G340" s="1"/>
      <c r="H340" s="3"/>
      <c r="I340" s="3"/>
    </row>
    <row r="341" spans="6:9">
      <c r="F341" s="3"/>
      <c r="G341" s="1"/>
      <c r="H341" s="3"/>
      <c r="I341" s="3"/>
    </row>
    <row r="342" spans="6:9">
      <c r="F342" s="3"/>
      <c r="G342" s="1"/>
      <c r="H342" s="3"/>
      <c r="I342" s="3"/>
    </row>
    <row r="343" spans="6:9">
      <c r="F343" s="3"/>
      <c r="G343" s="3"/>
      <c r="H343" s="3"/>
      <c r="I343" s="3"/>
    </row>
    <row r="344" spans="6:9">
      <c r="F344" s="3"/>
      <c r="G344" s="3"/>
      <c r="H344" s="3"/>
      <c r="I344" s="3"/>
    </row>
    <row r="345" spans="6:9">
      <c r="F345" s="3"/>
      <c r="G345" s="3"/>
      <c r="H345" s="3"/>
      <c r="I345" s="3"/>
    </row>
    <row r="346" spans="6:9">
      <c r="F346" s="3"/>
      <c r="G346" s="3"/>
      <c r="H346" s="3"/>
      <c r="I346" s="3"/>
    </row>
    <row r="347" spans="6:9">
      <c r="F347" s="3"/>
      <c r="G347" s="3"/>
      <c r="H347" s="3"/>
      <c r="I347" s="3"/>
    </row>
    <row r="348" spans="6:9">
      <c r="F348" s="3"/>
      <c r="G348" s="3"/>
      <c r="H348" s="3"/>
      <c r="I348" s="3"/>
    </row>
    <row r="349" spans="6:9">
      <c r="F349" s="3"/>
      <c r="G349" s="3"/>
      <c r="H349" s="3"/>
      <c r="I349" s="3"/>
    </row>
    <row r="350" spans="6:9">
      <c r="F350" s="3"/>
      <c r="G350" s="3"/>
      <c r="H350" s="3"/>
      <c r="I350" s="3"/>
    </row>
    <row r="351" spans="6:9">
      <c r="F351" s="3"/>
      <c r="G351" s="3"/>
      <c r="H351" s="3"/>
      <c r="I351" s="3"/>
    </row>
    <row r="352" spans="6:9">
      <c r="F352" s="3"/>
      <c r="G352" s="1"/>
      <c r="H352" s="3"/>
      <c r="I352" s="3"/>
    </row>
    <row r="353" spans="6:9">
      <c r="F353" s="3"/>
      <c r="G353" s="1"/>
      <c r="H353" s="3"/>
      <c r="I353" s="3"/>
    </row>
    <row r="354" spans="6:9">
      <c r="F354" s="3"/>
      <c r="G354" s="1"/>
      <c r="H354" s="3"/>
      <c r="I354" s="3"/>
    </row>
    <row r="355" spans="6:9">
      <c r="F355" s="3"/>
      <c r="G355" s="1"/>
      <c r="H355" s="3"/>
      <c r="I355" s="3"/>
    </row>
    <row r="356" spans="6:9">
      <c r="F356" s="3"/>
      <c r="G356" s="1"/>
      <c r="H356" s="3"/>
      <c r="I356" s="3"/>
    </row>
    <row r="357" spans="6:9">
      <c r="F357" s="3"/>
      <c r="G357" s="1"/>
      <c r="H357" s="3"/>
      <c r="I357" s="3"/>
    </row>
    <row r="358" spans="6:9">
      <c r="F358" s="3"/>
      <c r="G358" s="3"/>
      <c r="H358" s="3"/>
      <c r="I358" s="3"/>
    </row>
    <row r="359" spans="6:9">
      <c r="F359" s="3"/>
      <c r="G359" s="3"/>
      <c r="H359" s="3"/>
      <c r="I359" s="3"/>
    </row>
    <row r="360" spans="6:9">
      <c r="F360" s="3"/>
      <c r="G360" s="3"/>
      <c r="H360" s="3"/>
      <c r="I360" s="3"/>
    </row>
    <row r="361" spans="6:9">
      <c r="F361" s="3"/>
      <c r="G361" s="3"/>
      <c r="H361" s="3"/>
      <c r="I361" s="3"/>
    </row>
    <row r="362" spans="6:9">
      <c r="F362" s="3"/>
      <c r="G362" s="3"/>
      <c r="H362" s="3"/>
      <c r="I362" s="3"/>
    </row>
    <row r="363" spans="6:9">
      <c r="F363" s="3"/>
      <c r="G363" s="3"/>
      <c r="H363" s="3"/>
      <c r="I363" s="3"/>
    </row>
    <row r="364" spans="6:9">
      <c r="F364" s="3"/>
      <c r="G364" s="3"/>
      <c r="H364" s="3"/>
      <c r="I364" s="3"/>
    </row>
    <row r="365" spans="6:9">
      <c r="F365" s="3"/>
      <c r="G365" s="3"/>
      <c r="H365" s="3"/>
      <c r="I365" s="3"/>
    </row>
    <row r="366" spans="6:9">
      <c r="F366" s="3"/>
      <c r="G366" s="3"/>
      <c r="H366" s="3"/>
      <c r="I366" s="3"/>
    </row>
    <row r="367" spans="6:9">
      <c r="F367" s="3"/>
      <c r="G367" s="1"/>
      <c r="H367" s="3"/>
      <c r="I367" s="3"/>
    </row>
    <row r="368" spans="6:9">
      <c r="F368" s="3"/>
      <c r="G368" s="1"/>
      <c r="H368" s="3"/>
      <c r="I368" s="3"/>
    </row>
    <row r="369" spans="6:9">
      <c r="F369" s="3"/>
      <c r="G369" s="1"/>
      <c r="H369" s="3"/>
      <c r="I369" s="3"/>
    </row>
    <row r="370" spans="6:9">
      <c r="F370" s="3"/>
      <c r="G370" s="1"/>
      <c r="H370" s="3"/>
      <c r="I370" s="3"/>
    </row>
    <row r="371" spans="6:9">
      <c r="F371" s="3"/>
      <c r="G371" s="1"/>
      <c r="H371" s="3"/>
      <c r="I371" s="3"/>
    </row>
    <row r="372" spans="6:9">
      <c r="F372" s="3"/>
      <c r="G372" s="1"/>
      <c r="H372" s="3"/>
      <c r="I372" s="3"/>
    </row>
    <row r="373" spans="6:9">
      <c r="F373" s="3"/>
      <c r="G373" s="3"/>
      <c r="H373" s="3"/>
      <c r="I373" s="3"/>
    </row>
    <row r="374" spans="6:9">
      <c r="F374" s="3"/>
      <c r="G374" s="3"/>
      <c r="H374" s="3"/>
      <c r="I374" s="3"/>
    </row>
    <row r="375" spans="6:9">
      <c r="F375" s="3"/>
      <c r="G375" s="3"/>
      <c r="H375" s="3"/>
      <c r="I375" s="3"/>
    </row>
    <row r="376" spans="6:9">
      <c r="F376" s="3"/>
      <c r="G376" s="3"/>
      <c r="H376" s="3"/>
      <c r="I376" s="3"/>
    </row>
    <row r="377" spans="6:9">
      <c r="F377" s="3"/>
      <c r="G377" s="3"/>
      <c r="H377" s="3"/>
      <c r="I377" s="3"/>
    </row>
    <row r="378" spans="6:9">
      <c r="F378" s="3"/>
      <c r="G378" s="3"/>
      <c r="H378" s="3"/>
      <c r="I378" s="3"/>
    </row>
    <row r="379" spans="6:9">
      <c r="F379" s="3"/>
      <c r="G379" s="3"/>
      <c r="H379" s="3"/>
      <c r="I379" s="3"/>
    </row>
    <row r="380" spans="6:9">
      <c r="F380" s="3"/>
      <c r="G380" s="3"/>
      <c r="H380" s="3"/>
      <c r="I380" s="3"/>
    </row>
    <row r="381" spans="6:9">
      <c r="F381" s="3"/>
      <c r="G381" s="3"/>
      <c r="H381" s="3"/>
      <c r="I381" s="3"/>
    </row>
    <row r="382" spans="6:9">
      <c r="F382" s="3"/>
      <c r="G382" s="3"/>
      <c r="H382" s="3"/>
      <c r="I382" s="3"/>
    </row>
    <row r="383" spans="6:9">
      <c r="F383" s="3"/>
      <c r="G383" s="3"/>
      <c r="H383" s="3"/>
      <c r="I383" s="3"/>
    </row>
    <row r="384" spans="6:9">
      <c r="F384" s="3"/>
      <c r="G384" s="3"/>
      <c r="H384" s="3"/>
      <c r="I384" s="3"/>
    </row>
    <row r="385" spans="6:9">
      <c r="F385" s="3"/>
      <c r="G385" s="1"/>
      <c r="H385" s="3"/>
      <c r="I385" s="3"/>
    </row>
    <row r="386" spans="6:9">
      <c r="F386" s="3"/>
      <c r="G386" s="1"/>
      <c r="H386" s="3"/>
      <c r="I386" s="3"/>
    </row>
    <row r="387" spans="6:9">
      <c r="F387" s="3"/>
      <c r="G387" s="1"/>
      <c r="H387" s="3"/>
      <c r="I387" s="3"/>
    </row>
    <row r="388" spans="6:9">
      <c r="F388" s="3"/>
      <c r="G388" s="1"/>
      <c r="H388" s="3"/>
      <c r="I388" s="3"/>
    </row>
    <row r="389" spans="6:9">
      <c r="F389" s="3"/>
      <c r="G389" s="1"/>
      <c r="H389" s="3"/>
      <c r="I389" s="3"/>
    </row>
    <row r="390" spans="6:9">
      <c r="F390" s="3"/>
      <c r="G390" s="1"/>
      <c r="H390" s="3"/>
      <c r="I390" s="3"/>
    </row>
    <row r="391" spans="6:9">
      <c r="F391" s="3"/>
      <c r="G391" s="3"/>
      <c r="H391" s="3"/>
      <c r="I391" s="3"/>
    </row>
    <row r="392" spans="6:9">
      <c r="F392" s="3"/>
      <c r="G392" s="3"/>
      <c r="H392" s="3"/>
      <c r="I392" s="3"/>
    </row>
    <row r="393" spans="6:9">
      <c r="F393" s="3"/>
      <c r="G393" s="3"/>
      <c r="H393" s="3"/>
      <c r="I393" s="3"/>
    </row>
    <row r="394" spans="6:9">
      <c r="F394" s="3"/>
      <c r="G394" s="3"/>
      <c r="H394" s="3"/>
      <c r="I394" s="3"/>
    </row>
    <row r="395" spans="6:9">
      <c r="F395" s="3"/>
      <c r="G395" s="3"/>
      <c r="H395" s="3"/>
      <c r="I395" s="3"/>
    </row>
    <row r="396" spans="6:9">
      <c r="F396" s="3"/>
      <c r="G396" s="3"/>
      <c r="H396" s="3"/>
      <c r="I396" s="3"/>
    </row>
    <row r="397" spans="6:9">
      <c r="F397" s="3"/>
      <c r="G397" s="3"/>
      <c r="H397" s="3"/>
      <c r="I397" s="3"/>
    </row>
    <row r="398" spans="6:9">
      <c r="F398" s="3"/>
      <c r="G398" s="3"/>
      <c r="H398" s="3"/>
      <c r="I398" s="3"/>
    </row>
    <row r="399" spans="6:9">
      <c r="F399" s="3"/>
      <c r="G399" s="3"/>
      <c r="H399" s="3"/>
      <c r="I399" s="3"/>
    </row>
    <row r="400" spans="6:9">
      <c r="F400" s="3"/>
      <c r="G400" s="1"/>
      <c r="H400" s="3"/>
      <c r="I400" s="3"/>
    </row>
    <row r="401" spans="6:9">
      <c r="F401" s="3"/>
      <c r="G401" s="1"/>
      <c r="H401" s="3"/>
      <c r="I401" s="3"/>
    </row>
    <row r="402" spans="6:9">
      <c r="F402" s="3"/>
      <c r="G402" s="1"/>
      <c r="H402" s="3"/>
      <c r="I402" s="3"/>
    </row>
    <row r="403" spans="6:9">
      <c r="F403" s="3"/>
      <c r="G403" s="1"/>
      <c r="H403" s="3"/>
      <c r="I403" s="3"/>
    </row>
    <row r="404" spans="6:9">
      <c r="F404" s="3"/>
      <c r="G404" s="1"/>
      <c r="H404" s="3"/>
      <c r="I404" s="3"/>
    </row>
    <row r="405" spans="6:9">
      <c r="F405" s="3"/>
      <c r="G405" s="1"/>
      <c r="H405" s="3"/>
      <c r="I405" s="3"/>
    </row>
    <row r="406" spans="6:9">
      <c r="F406" s="3"/>
      <c r="G406" s="3"/>
      <c r="H406" s="3"/>
      <c r="I406" s="3"/>
    </row>
    <row r="407" spans="6:9">
      <c r="F407" s="3"/>
      <c r="G407" s="3"/>
      <c r="H407" s="3"/>
      <c r="I407" s="3"/>
    </row>
    <row r="408" spans="6:9">
      <c r="F408" s="3"/>
      <c r="G408" s="3"/>
      <c r="H408" s="3"/>
      <c r="I408" s="3"/>
    </row>
    <row r="409" spans="6:9">
      <c r="F409" s="3"/>
      <c r="G409" s="3"/>
      <c r="H409" s="3"/>
      <c r="I409" s="3"/>
    </row>
    <row r="410" spans="6:9">
      <c r="F410" s="3"/>
      <c r="G410" s="3"/>
      <c r="H410" s="3"/>
      <c r="I410" s="3"/>
    </row>
    <row r="411" spans="6:9">
      <c r="F411" s="3"/>
      <c r="G411" s="3"/>
      <c r="H411" s="3"/>
      <c r="I411" s="3"/>
    </row>
    <row r="412" spans="6:9">
      <c r="F412" s="3"/>
      <c r="G412" s="3"/>
      <c r="H412" s="3"/>
      <c r="I412" s="3"/>
    </row>
    <row r="413" spans="6:9">
      <c r="F413" s="3"/>
      <c r="G413" s="3"/>
      <c r="H413" s="3"/>
      <c r="I413" s="3"/>
    </row>
    <row r="414" spans="6:9">
      <c r="F414" s="3"/>
      <c r="G414" s="3"/>
      <c r="H414" s="3"/>
      <c r="I414" s="3"/>
    </row>
    <row r="415" spans="6:9">
      <c r="F415" s="3"/>
      <c r="G415" s="1"/>
      <c r="H415" s="3"/>
      <c r="I415" s="3"/>
    </row>
    <row r="416" spans="6:9">
      <c r="F416" s="3"/>
      <c r="G416" s="1"/>
      <c r="H416" s="3"/>
      <c r="I416" s="3"/>
    </row>
    <row r="417" spans="6:9">
      <c r="F417" s="3"/>
      <c r="G417" s="1"/>
      <c r="H417" s="3"/>
      <c r="I417" s="3"/>
    </row>
    <row r="418" spans="6:9">
      <c r="F418" s="3"/>
      <c r="G418" s="1"/>
      <c r="H418" s="3"/>
      <c r="I418" s="3"/>
    </row>
    <row r="419" spans="6:9">
      <c r="F419" s="3"/>
      <c r="G419" s="1"/>
      <c r="H419" s="3"/>
      <c r="I419" s="3"/>
    </row>
    <row r="420" spans="6:9">
      <c r="F420" s="3"/>
      <c r="G420" s="1"/>
      <c r="H420" s="3"/>
      <c r="I420" s="3"/>
    </row>
    <row r="421" spans="6:9">
      <c r="F421" s="3"/>
      <c r="G421" s="3"/>
      <c r="H421" s="3"/>
      <c r="I421" s="3"/>
    </row>
    <row r="422" spans="6:9">
      <c r="F422" s="3"/>
      <c r="G422" s="3"/>
      <c r="H422" s="3"/>
      <c r="I422" s="3"/>
    </row>
    <row r="423" spans="6:9">
      <c r="F423" s="3"/>
      <c r="G423" s="3"/>
      <c r="H423" s="3"/>
      <c r="I423" s="3"/>
    </row>
    <row r="424" spans="6:9">
      <c r="F424" s="3"/>
      <c r="G424" s="3"/>
      <c r="H424" s="3"/>
      <c r="I424" s="3"/>
    </row>
    <row r="425" spans="6:9">
      <c r="F425" s="3"/>
      <c r="G425" s="3"/>
      <c r="H425" s="3"/>
      <c r="I425" s="3"/>
    </row>
    <row r="426" spans="6:9">
      <c r="F426" s="3"/>
      <c r="G426" s="3"/>
      <c r="H426" s="3"/>
      <c r="I426" s="3"/>
    </row>
    <row r="427" spans="6:9">
      <c r="F427" s="3"/>
      <c r="G427" s="3"/>
      <c r="H427" s="3"/>
      <c r="I427" s="3"/>
    </row>
    <row r="428" spans="6:9">
      <c r="F428" s="3"/>
      <c r="G428" s="3"/>
      <c r="H428" s="3"/>
      <c r="I428" s="3"/>
    </row>
    <row r="429" spans="6:9">
      <c r="F429" s="3"/>
      <c r="G429" s="3"/>
      <c r="H429" s="3"/>
      <c r="I429" s="3"/>
    </row>
    <row r="430" spans="6:9">
      <c r="F430" s="3"/>
      <c r="G430" s="3"/>
      <c r="H430" s="3"/>
      <c r="I430" s="3"/>
    </row>
    <row r="431" spans="6:9">
      <c r="F431" s="3"/>
      <c r="G431" s="3"/>
      <c r="H431" s="3"/>
      <c r="I431" s="3"/>
    </row>
    <row r="432" spans="6:9">
      <c r="F432" s="3"/>
      <c r="G432" s="3"/>
      <c r="H432" s="3"/>
      <c r="I432" s="3"/>
    </row>
    <row r="433" spans="6:9">
      <c r="F433" s="3"/>
      <c r="G433" s="1"/>
      <c r="H433" s="3"/>
      <c r="I433" s="3"/>
    </row>
    <row r="434" spans="6:9">
      <c r="F434" s="3"/>
      <c r="G434" s="1"/>
      <c r="H434" s="3"/>
      <c r="I434" s="3"/>
    </row>
    <row r="435" spans="6:9">
      <c r="F435" s="3"/>
      <c r="G435" s="1"/>
      <c r="H435" s="3"/>
      <c r="I435" s="3"/>
    </row>
    <row r="436" spans="6:9">
      <c r="F436" s="3"/>
      <c r="G436" s="1"/>
      <c r="H436" s="3"/>
      <c r="I436" s="3"/>
    </row>
    <row r="437" spans="6:9">
      <c r="F437" s="3"/>
      <c r="G437" s="1"/>
      <c r="H437" s="3"/>
      <c r="I437" s="3"/>
    </row>
    <row r="438" spans="6:9">
      <c r="F438" s="3"/>
      <c r="G438" s="1"/>
      <c r="H438" s="3"/>
      <c r="I438" s="3"/>
    </row>
    <row r="439" spans="6:9">
      <c r="F439" s="3"/>
      <c r="G439" s="3"/>
      <c r="H439" s="3"/>
      <c r="I439" s="3"/>
    </row>
    <row r="440" spans="6:9">
      <c r="F440" s="3"/>
      <c r="G440" s="3"/>
      <c r="H440" s="3"/>
      <c r="I440" s="3"/>
    </row>
    <row r="441" spans="6:9">
      <c r="F441" s="3"/>
      <c r="G441" s="3"/>
      <c r="H441" s="3"/>
      <c r="I441" s="3"/>
    </row>
    <row r="442" spans="6:9">
      <c r="F442" s="3"/>
      <c r="G442" s="3"/>
      <c r="H442" s="3"/>
      <c r="I442" s="3"/>
    </row>
    <row r="443" spans="6:9">
      <c r="F443" s="3"/>
      <c r="G443" s="3"/>
      <c r="H443" s="3"/>
      <c r="I443" s="3"/>
    </row>
    <row r="444" spans="6:9">
      <c r="F444" s="3"/>
      <c r="G444" s="3"/>
      <c r="H444" s="3"/>
      <c r="I444" s="3"/>
    </row>
    <row r="445" spans="6:9">
      <c r="F445" s="3"/>
      <c r="G445" s="3"/>
      <c r="H445" s="3"/>
      <c r="I445" s="3"/>
    </row>
    <row r="446" spans="6:9">
      <c r="F446" s="3"/>
      <c r="G446" s="3"/>
      <c r="H446" s="3"/>
      <c r="I446" s="3"/>
    </row>
    <row r="447" spans="6:9">
      <c r="F447" s="3"/>
      <c r="G447" s="3"/>
      <c r="H447" s="3"/>
      <c r="I447" s="3"/>
    </row>
    <row r="448" spans="6:9">
      <c r="F448" s="3"/>
      <c r="G448" s="1"/>
      <c r="H448" s="3"/>
      <c r="I448" s="3"/>
    </row>
    <row r="449" spans="6:9">
      <c r="F449" s="3"/>
      <c r="G449" s="1"/>
      <c r="H449" s="3"/>
      <c r="I449" s="3"/>
    </row>
    <row r="450" spans="6:9">
      <c r="F450" s="3"/>
      <c r="G450" s="1"/>
      <c r="H450" s="3"/>
      <c r="I450" s="3"/>
    </row>
    <row r="451" spans="6:9">
      <c r="F451" s="3"/>
      <c r="G451" s="1"/>
      <c r="H451" s="3"/>
      <c r="I451" s="3"/>
    </row>
    <row r="452" spans="6:9">
      <c r="F452" s="3"/>
      <c r="G452" s="1"/>
      <c r="H452" s="3"/>
      <c r="I452" s="3"/>
    </row>
    <row r="453" spans="6:9">
      <c r="F453" s="3"/>
      <c r="G453" s="1"/>
      <c r="H453" s="3"/>
      <c r="I453" s="3"/>
    </row>
    <row r="454" spans="6:9">
      <c r="F454" s="3"/>
      <c r="G454" s="3"/>
      <c r="H454" s="3"/>
      <c r="I454" s="3"/>
    </row>
    <row r="455" spans="6:9">
      <c r="F455" s="3"/>
      <c r="G455" s="3"/>
      <c r="H455" s="3"/>
      <c r="I455" s="3"/>
    </row>
    <row r="456" spans="6:9">
      <c r="F456" s="3"/>
      <c r="G456" s="3"/>
      <c r="H456" s="3"/>
      <c r="I456" s="3"/>
    </row>
    <row r="457" spans="6:9">
      <c r="F457" s="3"/>
      <c r="G457" s="3"/>
      <c r="H457" s="3"/>
      <c r="I457" s="3"/>
    </row>
    <row r="458" spans="6:9">
      <c r="F458" s="3"/>
      <c r="G458" s="3"/>
      <c r="H458" s="3"/>
      <c r="I458" s="3"/>
    </row>
    <row r="459" spans="6:9">
      <c r="F459" s="3"/>
      <c r="G459" s="3"/>
      <c r="H459" s="3"/>
      <c r="I459" s="3"/>
    </row>
    <row r="460" spans="6:9">
      <c r="F460" s="3"/>
      <c r="G460" s="3"/>
      <c r="H460" s="3"/>
      <c r="I460" s="3"/>
    </row>
    <row r="461" spans="6:9">
      <c r="F461" s="3"/>
      <c r="G461" s="3"/>
      <c r="H461" s="3"/>
      <c r="I461" s="3"/>
    </row>
    <row r="462" spans="6:9">
      <c r="F462" s="3"/>
      <c r="G462" s="3"/>
      <c r="H462" s="3"/>
      <c r="I462" s="3"/>
    </row>
    <row r="463" spans="6:9">
      <c r="F463" s="3"/>
      <c r="G463" s="1"/>
      <c r="H463" s="3"/>
      <c r="I463" s="3"/>
    </row>
    <row r="464" spans="6:9">
      <c r="F464" s="3"/>
      <c r="G464" s="1"/>
      <c r="H464" s="3"/>
      <c r="I464" s="3"/>
    </row>
    <row r="465" spans="6:9">
      <c r="F465" s="3"/>
      <c r="G465" s="1"/>
      <c r="H465" s="3"/>
      <c r="I465" s="3"/>
    </row>
    <row r="466" spans="6:9">
      <c r="F466" s="3"/>
      <c r="G466" s="1"/>
      <c r="H466" s="3"/>
      <c r="I466" s="3"/>
    </row>
    <row r="467" spans="6:9">
      <c r="F467" s="3"/>
      <c r="G467" s="1"/>
      <c r="H467" s="3"/>
      <c r="I467" s="3"/>
    </row>
    <row r="468" spans="6:9">
      <c r="F468" s="3"/>
      <c r="G468" s="1"/>
      <c r="H468" s="3"/>
      <c r="I468" s="3"/>
    </row>
    <row r="469" spans="6:9">
      <c r="F469" s="3"/>
      <c r="G469" s="3"/>
      <c r="H469" s="3"/>
      <c r="I469" s="3"/>
    </row>
    <row r="470" spans="6:9">
      <c r="F470" s="3"/>
      <c r="G470" s="3"/>
      <c r="H470" s="3"/>
      <c r="I470" s="3"/>
    </row>
    <row r="471" spans="6:9">
      <c r="F471" s="3"/>
      <c r="G471" s="3"/>
      <c r="H471" s="3"/>
      <c r="I471" s="3"/>
    </row>
    <row r="472" spans="6:9">
      <c r="F472" s="3"/>
      <c r="G472" s="3"/>
      <c r="H472" s="3"/>
      <c r="I472" s="3"/>
    </row>
    <row r="473" spans="6:9">
      <c r="F473" s="3"/>
      <c r="G473" s="3"/>
      <c r="H473" s="3"/>
      <c r="I473" s="3"/>
    </row>
    <row r="474" spans="6:9">
      <c r="F474" s="3"/>
      <c r="G474" s="3"/>
      <c r="H474" s="3"/>
      <c r="I474" s="3"/>
    </row>
    <row r="475" spans="6:9">
      <c r="F475" s="3"/>
      <c r="G475" s="3"/>
      <c r="H475" s="3"/>
      <c r="I475" s="3"/>
    </row>
    <row r="476" spans="6:9">
      <c r="F476" s="3"/>
      <c r="G476" s="3"/>
      <c r="H476" s="3"/>
      <c r="I476" s="3"/>
    </row>
    <row r="477" spans="6:9">
      <c r="F477" s="3"/>
      <c r="G477" s="3"/>
      <c r="H477" s="3"/>
      <c r="I477" s="3"/>
    </row>
    <row r="478" spans="6:9">
      <c r="F478" s="3"/>
      <c r="G478" s="3"/>
      <c r="H478" s="3"/>
      <c r="I478" s="3"/>
    </row>
    <row r="479" spans="6:9">
      <c r="F479" s="3"/>
      <c r="G479" s="3"/>
      <c r="H479" s="3"/>
      <c r="I479" s="3"/>
    </row>
    <row r="480" spans="6:9">
      <c r="F480" s="3"/>
      <c r="G480" s="3"/>
      <c r="H480" s="3"/>
      <c r="I480" s="3"/>
    </row>
    <row r="481" spans="6:9">
      <c r="F481" s="3"/>
      <c r="G481" s="1"/>
      <c r="H481" s="3"/>
      <c r="I481" s="3"/>
    </row>
    <row r="482" spans="6:9">
      <c r="F482" s="3"/>
      <c r="G482" s="1"/>
      <c r="H482" s="3"/>
      <c r="I482" s="3"/>
    </row>
    <row r="483" spans="6:9">
      <c r="F483" s="3"/>
      <c r="G483" s="1"/>
      <c r="H483" s="3"/>
      <c r="I483" s="3"/>
    </row>
    <row r="484" spans="6:9">
      <c r="F484" s="3"/>
      <c r="G484" s="1"/>
      <c r="H484" s="3"/>
      <c r="I484" s="3"/>
    </row>
    <row r="485" spans="6:9">
      <c r="F485" s="3"/>
      <c r="G485" s="1"/>
      <c r="H485" s="3"/>
      <c r="I485" s="3"/>
    </row>
    <row r="486" spans="6:9">
      <c r="F486" s="3"/>
      <c r="G486" s="1"/>
      <c r="H486" s="3"/>
      <c r="I486" s="3"/>
    </row>
    <row r="487" spans="6:9">
      <c r="F487" s="3"/>
      <c r="G487" s="3"/>
      <c r="H487" s="3"/>
      <c r="I487" s="3"/>
    </row>
    <row r="488" spans="6:9">
      <c r="F488" s="3"/>
      <c r="G488" s="3"/>
      <c r="H488" s="3"/>
      <c r="I488" s="3"/>
    </row>
    <row r="489" spans="6:9">
      <c r="F489" s="3"/>
      <c r="G489" s="3"/>
      <c r="H489" s="3"/>
      <c r="I489" s="3"/>
    </row>
    <row r="490" spans="6:9">
      <c r="F490" s="3"/>
      <c r="G490" s="3"/>
      <c r="H490" s="3"/>
      <c r="I490" s="3"/>
    </row>
    <row r="491" spans="6:9">
      <c r="F491" s="3"/>
      <c r="G491" s="3"/>
      <c r="H491" s="3"/>
      <c r="I491" s="3"/>
    </row>
    <row r="492" spans="6:9">
      <c r="F492" s="3"/>
      <c r="G492" s="3"/>
      <c r="H492" s="3"/>
      <c r="I492" s="3"/>
    </row>
    <row r="493" spans="6:9">
      <c r="F493" s="3"/>
      <c r="G493" s="3"/>
      <c r="H493" s="3"/>
      <c r="I493" s="3"/>
    </row>
    <row r="494" spans="6:9">
      <c r="F494" s="3"/>
      <c r="G494" s="3"/>
      <c r="H494" s="3"/>
      <c r="I494" s="3"/>
    </row>
    <row r="495" spans="6:9">
      <c r="F495" s="3"/>
      <c r="G495" s="3"/>
      <c r="H495" s="3"/>
      <c r="I495" s="3"/>
    </row>
    <row r="496" spans="6:9">
      <c r="F496" s="3"/>
      <c r="G496" s="1"/>
      <c r="H496" s="3"/>
      <c r="I496" s="3"/>
    </row>
    <row r="497" spans="6:9">
      <c r="F497" s="3"/>
      <c r="G497" s="1"/>
      <c r="H497" s="3"/>
      <c r="I497" s="3"/>
    </row>
    <row r="498" spans="6:9">
      <c r="F498" s="3"/>
      <c r="G498" s="1"/>
      <c r="H498" s="3"/>
      <c r="I498" s="3"/>
    </row>
    <row r="499" spans="6:9">
      <c r="F499" s="3"/>
      <c r="G499" s="1"/>
      <c r="H499" s="3"/>
      <c r="I499" s="3"/>
    </row>
    <row r="500" spans="6:9">
      <c r="F500" s="3"/>
      <c r="G500" s="1"/>
      <c r="H500" s="3"/>
      <c r="I500" s="3"/>
    </row>
    <row r="501" spans="6:9">
      <c r="F501" s="3"/>
      <c r="G501" s="1"/>
      <c r="H501" s="3"/>
      <c r="I501" s="3"/>
    </row>
    <row r="502" spans="6:9">
      <c r="F502" s="3"/>
      <c r="G502" s="3"/>
      <c r="H502" s="3"/>
      <c r="I502" s="3"/>
    </row>
    <row r="503" spans="6:9">
      <c r="F503" s="3"/>
      <c r="G503" s="3"/>
      <c r="H503" s="3"/>
      <c r="I503" s="3"/>
    </row>
    <row r="504" spans="6:9">
      <c r="F504" s="3"/>
      <c r="G504" s="3"/>
      <c r="H504" s="3"/>
      <c r="I504" s="3"/>
    </row>
    <row r="505" spans="6:9">
      <c r="F505" s="3"/>
      <c r="G505" s="3"/>
      <c r="H505" s="3"/>
      <c r="I505" s="3"/>
    </row>
    <row r="506" spans="6:9">
      <c r="F506" s="3"/>
      <c r="G506" s="3"/>
      <c r="H506" s="3"/>
      <c r="I506" s="3"/>
    </row>
    <row r="507" spans="6:9">
      <c r="F507" s="3"/>
      <c r="G507" s="3"/>
      <c r="H507" s="3"/>
      <c r="I507" s="3"/>
    </row>
    <row r="508" spans="6:9">
      <c r="F508" s="3"/>
      <c r="G508" s="3"/>
      <c r="H508" s="3"/>
      <c r="I508" s="3"/>
    </row>
    <row r="509" spans="6:9">
      <c r="F509" s="3"/>
      <c r="G509" s="3"/>
      <c r="H509" s="3"/>
      <c r="I509" s="3"/>
    </row>
    <row r="510" spans="6:9">
      <c r="F510" s="3"/>
      <c r="G510" s="3"/>
      <c r="H510" s="3"/>
      <c r="I510" s="3"/>
    </row>
    <row r="511" spans="6:9">
      <c r="F511" s="3"/>
      <c r="G511" s="1"/>
      <c r="H511" s="3"/>
      <c r="I511" s="3"/>
    </row>
    <row r="512" spans="6:9">
      <c r="F512" s="3"/>
      <c r="G512" s="1"/>
      <c r="H512" s="3"/>
      <c r="I512" s="3"/>
    </row>
    <row r="513" spans="6:9">
      <c r="F513" s="3"/>
      <c r="G513" s="1"/>
      <c r="H513" s="3"/>
      <c r="I513" s="3"/>
    </row>
    <row r="514" spans="6:9">
      <c r="F514" s="3"/>
      <c r="G514" s="1"/>
      <c r="H514" s="3"/>
      <c r="I514" s="3"/>
    </row>
    <row r="515" spans="6:9">
      <c r="F515" s="3"/>
      <c r="G515" s="1"/>
      <c r="H515" s="3"/>
      <c r="I515" s="3"/>
    </row>
    <row r="516" spans="6:9">
      <c r="F516" s="3"/>
      <c r="G516" s="1"/>
      <c r="H516" s="3"/>
      <c r="I516" s="3"/>
    </row>
    <row r="517" spans="6:9">
      <c r="F517" s="3"/>
      <c r="G517" s="3"/>
      <c r="H517" s="3"/>
      <c r="I517" s="3"/>
    </row>
    <row r="518" spans="6:9">
      <c r="F518" s="3"/>
      <c r="G518" s="3"/>
      <c r="H518" s="3"/>
      <c r="I518" s="3"/>
    </row>
    <row r="519" spans="6:9">
      <c r="F519" s="3"/>
      <c r="G519" s="3"/>
      <c r="H519" s="3"/>
      <c r="I519" s="3"/>
    </row>
    <row r="520" spans="6:9">
      <c r="F520" s="3"/>
      <c r="G520" s="3"/>
      <c r="H520" s="3"/>
      <c r="I520" s="3"/>
    </row>
    <row r="521" spans="6:9">
      <c r="F521" s="3"/>
      <c r="G521" s="3"/>
      <c r="H521" s="3"/>
      <c r="I521" s="3"/>
    </row>
    <row r="522" spans="6:9">
      <c r="F522" s="3"/>
      <c r="G522" s="3"/>
      <c r="H522" s="3"/>
      <c r="I522" s="3"/>
    </row>
    <row r="523" spans="6:9">
      <c r="F523" s="3"/>
      <c r="G523" s="3"/>
      <c r="H523" s="3"/>
      <c r="I523" s="3"/>
    </row>
    <row r="524" spans="6:9">
      <c r="F524" s="3"/>
      <c r="G524" s="3"/>
      <c r="H524" s="3"/>
      <c r="I524" s="3"/>
    </row>
    <row r="525" spans="6:9">
      <c r="F525" s="3"/>
      <c r="G525" s="3"/>
      <c r="H525" s="3"/>
      <c r="I525" s="3"/>
    </row>
    <row r="526" spans="6:9">
      <c r="F526" s="3"/>
      <c r="G526" s="3"/>
      <c r="H526" s="3"/>
      <c r="I526" s="3"/>
    </row>
    <row r="527" spans="6:9">
      <c r="F527" s="3"/>
      <c r="G527" s="3"/>
      <c r="H527" s="3"/>
      <c r="I527" s="3"/>
    </row>
    <row r="528" spans="6:9">
      <c r="F528" s="3"/>
      <c r="G528" s="3"/>
      <c r="H528" s="3"/>
      <c r="I528" s="3"/>
    </row>
    <row r="529" spans="6:9">
      <c r="F529" s="3"/>
      <c r="G529" s="1"/>
      <c r="H529" s="3"/>
      <c r="I529" s="3"/>
    </row>
    <row r="530" spans="6:9">
      <c r="F530" s="3"/>
      <c r="G530" s="1"/>
      <c r="H530" s="3"/>
      <c r="I530" s="3"/>
    </row>
    <row r="531" spans="6:9">
      <c r="F531" s="3"/>
      <c r="G531" s="1"/>
      <c r="H531" s="3"/>
      <c r="I531" s="3"/>
    </row>
    <row r="532" spans="6:9">
      <c r="F532" s="3"/>
      <c r="G532" s="1"/>
      <c r="H532" s="3"/>
      <c r="I532" s="3"/>
    </row>
    <row r="533" spans="6:9">
      <c r="F533" s="3"/>
      <c r="G533" s="1"/>
      <c r="H533" s="3"/>
      <c r="I533" s="3"/>
    </row>
    <row r="534" spans="6:9">
      <c r="F534" s="3"/>
      <c r="G534" s="1"/>
      <c r="H534" s="3"/>
      <c r="I534" s="3"/>
    </row>
    <row r="535" spans="6:9">
      <c r="F535" s="3"/>
      <c r="G535" s="3"/>
      <c r="H535" s="3"/>
      <c r="I535" s="3"/>
    </row>
    <row r="536" spans="6:9">
      <c r="F536" s="3"/>
      <c r="G536" s="3"/>
      <c r="H536" s="3"/>
      <c r="I536" s="3"/>
    </row>
    <row r="537" spans="6:9">
      <c r="F537" s="3"/>
      <c r="G537" s="3"/>
      <c r="H537" s="3"/>
      <c r="I537" s="3"/>
    </row>
    <row r="538" spans="6:9">
      <c r="F538" s="3"/>
      <c r="G538" s="3"/>
      <c r="H538" s="3"/>
      <c r="I538" s="3"/>
    </row>
    <row r="539" spans="6:9">
      <c r="F539" s="3"/>
      <c r="G539" s="3"/>
      <c r="H539" s="3"/>
      <c r="I539" s="3"/>
    </row>
    <row r="540" spans="6:9">
      <c r="F540" s="3"/>
      <c r="G540" s="3"/>
      <c r="H540" s="3"/>
      <c r="I540" s="3"/>
    </row>
    <row r="541" spans="6:9">
      <c r="F541" s="3"/>
      <c r="G541" s="3"/>
      <c r="H541" s="3"/>
      <c r="I541" s="3"/>
    </row>
    <row r="542" spans="6:9">
      <c r="F542" s="3"/>
      <c r="G542" s="3"/>
      <c r="H542" s="3"/>
      <c r="I542" s="3"/>
    </row>
    <row r="543" spans="6:9">
      <c r="F543" s="3"/>
      <c r="G543" s="3"/>
      <c r="H543" s="3"/>
      <c r="I543" s="3"/>
    </row>
    <row r="544" spans="6:9">
      <c r="F544" s="3"/>
      <c r="G544" s="1"/>
      <c r="H544" s="3"/>
      <c r="I544" s="3"/>
    </row>
    <row r="545" spans="6:9">
      <c r="F545" s="3"/>
      <c r="G545" s="1"/>
      <c r="H545" s="3"/>
      <c r="I545" s="3"/>
    </row>
    <row r="546" spans="6:9">
      <c r="F546" s="3"/>
      <c r="G546" s="1"/>
      <c r="H546" s="3"/>
      <c r="I546" s="3"/>
    </row>
    <row r="547" spans="6:9">
      <c r="F547" s="3"/>
      <c r="G547" s="1"/>
      <c r="H547" s="3"/>
      <c r="I547" s="3"/>
    </row>
    <row r="548" spans="6:9">
      <c r="F548" s="3"/>
      <c r="G548" s="1"/>
      <c r="H548" s="3"/>
      <c r="I548" s="3"/>
    </row>
    <row r="549" spans="6:9">
      <c r="F549" s="3"/>
      <c r="G549" s="1"/>
      <c r="H549" s="3"/>
      <c r="I549" s="3"/>
    </row>
    <row r="550" spans="6:9">
      <c r="F550" s="3"/>
      <c r="G550" s="3"/>
      <c r="H550" s="3"/>
      <c r="I550" s="3"/>
    </row>
    <row r="551" spans="6:9">
      <c r="F551" s="3"/>
      <c r="G551" s="3"/>
      <c r="H551" s="3"/>
      <c r="I551" s="3"/>
    </row>
    <row r="552" spans="6:9">
      <c r="F552" s="3"/>
      <c r="G552" s="3"/>
      <c r="H552" s="3"/>
      <c r="I552" s="3"/>
    </row>
    <row r="553" spans="6:9">
      <c r="F553" s="3"/>
      <c r="G553" s="3"/>
      <c r="H553" s="3"/>
      <c r="I553" s="3"/>
    </row>
    <row r="554" spans="6:9">
      <c r="F554" s="3"/>
      <c r="G554" s="3"/>
      <c r="H554" s="3"/>
      <c r="I554" s="3"/>
    </row>
    <row r="555" spans="6:9">
      <c r="F555" s="3"/>
      <c r="G555" s="3"/>
      <c r="H555" s="3"/>
      <c r="I555" s="3"/>
    </row>
    <row r="556" spans="6:9">
      <c r="F556" s="3"/>
      <c r="G556" s="3"/>
      <c r="H556" s="3"/>
      <c r="I556" s="3"/>
    </row>
    <row r="557" spans="6:9">
      <c r="F557" s="3"/>
      <c r="G557" s="3"/>
      <c r="H557" s="3"/>
      <c r="I557" s="3"/>
    </row>
    <row r="558" spans="6:9">
      <c r="F558" s="3"/>
      <c r="G558" s="3"/>
      <c r="H558" s="3"/>
      <c r="I558" s="3"/>
    </row>
    <row r="559" spans="6:9">
      <c r="F559" s="3"/>
      <c r="G559" s="1"/>
      <c r="H559" s="3"/>
      <c r="I559" s="3"/>
    </row>
    <row r="560" spans="6:9">
      <c r="F560" s="3"/>
      <c r="G560" s="1"/>
      <c r="H560" s="3"/>
      <c r="I560" s="3"/>
    </row>
    <row r="561" spans="6:9">
      <c r="F561" s="3"/>
      <c r="G561" s="1"/>
      <c r="H561" s="3"/>
      <c r="I561" s="3"/>
    </row>
    <row r="562" spans="6:9">
      <c r="F562" s="3"/>
      <c r="G562" s="1"/>
      <c r="H562" s="3"/>
      <c r="I562" s="3"/>
    </row>
    <row r="563" spans="6:9">
      <c r="F563" s="3"/>
      <c r="G563" s="1"/>
      <c r="H563" s="3"/>
      <c r="I563" s="3"/>
    </row>
    <row r="564" spans="6:9">
      <c r="F564" s="3"/>
      <c r="G564" s="1"/>
      <c r="H564" s="3"/>
      <c r="I564" s="3"/>
    </row>
    <row r="565" spans="6:9">
      <c r="F565" s="3"/>
      <c r="G565" s="3"/>
      <c r="H565" s="3"/>
      <c r="I565" s="3"/>
    </row>
    <row r="566" spans="6:9">
      <c r="F566" s="3"/>
      <c r="G566" s="3"/>
      <c r="H566" s="3"/>
      <c r="I566" s="3"/>
    </row>
    <row r="567" spans="6:9">
      <c r="F567" s="3"/>
      <c r="G567" s="3"/>
      <c r="H567" s="3"/>
      <c r="I567" s="3"/>
    </row>
    <row r="568" spans="6:9">
      <c r="F568" s="3"/>
      <c r="G568" s="3"/>
      <c r="H568" s="3"/>
      <c r="I568" s="3"/>
    </row>
    <row r="569" spans="6:9">
      <c r="F569" s="3"/>
      <c r="G569" s="3"/>
      <c r="H569" s="3"/>
      <c r="I569" s="3"/>
    </row>
    <row r="570" spans="6:9">
      <c r="F570" s="3"/>
      <c r="G570" s="3"/>
      <c r="H570" s="3"/>
      <c r="I570" s="3"/>
    </row>
    <row r="571" spans="6:9">
      <c r="F571" s="3"/>
      <c r="G571" s="3"/>
      <c r="H571" s="3"/>
      <c r="I571" s="3"/>
    </row>
    <row r="572" spans="6:9">
      <c r="F572" s="3"/>
      <c r="G572" s="3"/>
      <c r="H572" s="3"/>
      <c r="I572" s="3"/>
    </row>
    <row r="573" spans="6:9">
      <c r="F573" s="3"/>
      <c r="G573" s="3"/>
      <c r="H573" s="3"/>
      <c r="I573" s="3"/>
    </row>
    <row r="574" spans="6:9">
      <c r="F574" s="3"/>
      <c r="G574" s="3"/>
      <c r="H574" s="3"/>
      <c r="I574" s="3"/>
    </row>
    <row r="575" spans="6:9">
      <c r="F575" s="3"/>
      <c r="G575" s="3"/>
      <c r="H575" s="3"/>
      <c r="I575" s="3"/>
    </row>
    <row r="576" spans="6:9">
      <c r="F576" s="3"/>
      <c r="G576" s="3"/>
      <c r="H576" s="3"/>
      <c r="I576" s="3"/>
    </row>
    <row r="577" spans="6:9">
      <c r="F577" s="3"/>
      <c r="G577" s="1"/>
      <c r="H577" s="3"/>
      <c r="I577" s="3"/>
    </row>
    <row r="578" spans="6:9">
      <c r="F578" s="3"/>
      <c r="G578" s="1"/>
      <c r="H578" s="3"/>
      <c r="I578" s="3"/>
    </row>
    <row r="579" spans="6:9">
      <c r="F579" s="3"/>
      <c r="G579" s="1"/>
      <c r="H579" s="3"/>
      <c r="I579" s="3"/>
    </row>
    <row r="580" spans="6:9">
      <c r="F580" s="3"/>
      <c r="G580" s="1"/>
      <c r="H580" s="3"/>
      <c r="I580" s="3"/>
    </row>
    <row r="581" spans="6:9">
      <c r="F581" s="3"/>
      <c r="G581" s="1"/>
      <c r="H581" s="3"/>
      <c r="I581" s="3"/>
    </row>
    <row r="582" spans="6:9">
      <c r="F582" s="3"/>
      <c r="G582" s="1"/>
      <c r="H582" s="3"/>
      <c r="I582" s="3"/>
    </row>
    <row r="583" spans="6:9">
      <c r="F583" s="3"/>
      <c r="G583" s="3"/>
      <c r="H583" s="3"/>
      <c r="I583" s="3"/>
    </row>
    <row r="584" spans="6:9">
      <c r="F584" s="3"/>
      <c r="G584" s="3"/>
      <c r="H584" s="3"/>
      <c r="I584" s="3"/>
    </row>
    <row r="585" spans="6:9">
      <c r="F585" s="3"/>
      <c r="G585" s="3"/>
      <c r="H585" s="3"/>
      <c r="I585" s="3"/>
    </row>
    <row r="586" spans="6:9">
      <c r="F586" s="3"/>
      <c r="G586" s="3"/>
      <c r="H586" s="3"/>
      <c r="I586" s="3"/>
    </row>
    <row r="587" spans="6:9">
      <c r="F587" s="3"/>
      <c r="G587" s="3"/>
      <c r="H587" s="3"/>
      <c r="I587" s="3"/>
    </row>
    <row r="588" spans="6:9">
      <c r="F588" s="3"/>
      <c r="G588" s="3"/>
      <c r="H588" s="3"/>
      <c r="I588" s="3"/>
    </row>
    <row r="589" spans="6:9">
      <c r="F589" s="3"/>
      <c r="G589" s="3"/>
      <c r="H589" s="3"/>
      <c r="I589" s="3"/>
    </row>
    <row r="590" spans="6:9">
      <c r="F590" s="3"/>
      <c r="G590" s="3"/>
      <c r="H590" s="3"/>
      <c r="I590" s="3"/>
    </row>
    <row r="591" spans="6:9">
      <c r="F591" s="3"/>
      <c r="G591" s="3"/>
      <c r="H591" s="3"/>
      <c r="I591" s="3"/>
    </row>
    <row r="592" spans="6:9">
      <c r="F592" s="3"/>
      <c r="G592" s="1"/>
      <c r="H592" s="3"/>
      <c r="I592" s="3"/>
    </row>
    <row r="593" spans="6:9">
      <c r="F593" s="3"/>
      <c r="G593" s="1"/>
      <c r="H593" s="3"/>
      <c r="I593" s="3"/>
    </row>
    <row r="594" spans="6:9">
      <c r="F594" s="3"/>
      <c r="G594" s="1"/>
      <c r="H594" s="3"/>
      <c r="I594" s="3"/>
    </row>
    <row r="595" spans="6:9">
      <c r="F595" s="3"/>
      <c r="G595" s="1"/>
      <c r="H595" s="3"/>
      <c r="I595" s="3"/>
    </row>
    <row r="596" spans="6:9">
      <c r="F596" s="3"/>
      <c r="G596" s="1"/>
      <c r="H596" s="3"/>
      <c r="I596" s="3"/>
    </row>
    <row r="597" spans="6:9">
      <c r="F597" s="3"/>
      <c r="G597" s="1"/>
      <c r="H597" s="3"/>
      <c r="I597" s="3"/>
    </row>
    <row r="598" spans="6:9">
      <c r="F598" s="3"/>
      <c r="G598" s="3"/>
      <c r="H598" s="3"/>
      <c r="I598" s="3"/>
    </row>
    <row r="599" spans="6:9">
      <c r="F599" s="3"/>
      <c r="G599" s="3"/>
      <c r="H599" s="3"/>
      <c r="I599" s="3"/>
    </row>
    <row r="600" spans="6:9">
      <c r="F600" s="3"/>
      <c r="G600" s="3"/>
      <c r="H600" s="3"/>
      <c r="I600" s="3"/>
    </row>
    <row r="601" spans="6:9">
      <c r="F601" s="3"/>
      <c r="G601" s="3"/>
      <c r="H601" s="3"/>
      <c r="I601" s="3"/>
    </row>
    <row r="602" spans="6:9">
      <c r="F602" s="3"/>
      <c r="G602" s="3"/>
      <c r="H602" s="3"/>
      <c r="I602" s="3"/>
    </row>
    <row r="603" spans="6:9">
      <c r="F603" s="3"/>
      <c r="G603" s="3"/>
      <c r="H603" s="3"/>
      <c r="I603" s="3"/>
    </row>
    <row r="604" spans="6:9">
      <c r="F604" s="3"/>
      <c r="G604" s="3"/>
      <c r="H604" s="3"/>
      <c r="I604" s="3"/>
    </row>
    <row r="605" spans="6:9">
      <c r="F605" s="3"/>
      <c r="G605" s="3"/>
      <c r="H605" s="3"/>
      <c r="I605" s="3"/>
    </row>
    <row r="606" spans="6:9">
      <c r="F606" s="3"/>
      <c r="G606" s="3"/>
      <c r="H606" s="3"/>
      <c r="I606" s="3"/>
    </row>
    <row r="607" spans="6:9">
      <c r="F607" s="3"/>
      <c r="G607" s="1"/>
      <c r="H607" s="3"/>
      <c r="I607" s="3"/>
    </row>
    <row r="608" spans="6:9">
      <c r="F608" s="3"/>
      <c r="G608" s="1"/>
      <c r="H608" s="3"/>
      <c r="I608" s="3"/>
    </row>
    <row r="609" spans="6:9">
      <c r="F609" s="3"/>
      <c r="G609" s="1"/>
      <c r="H609" s="3"/>
      <c r="I609" s="3"/>
    </row>
    <row r="610" spans="6:9">
      <c r="F610" s="3"/>
      <c r="G610" s="1"/>
      <c r="H610" s="3"/>
      <c r="I610" s="3"/>
    </row>
    <row r="611" spans="6:9">
      <c r="F611" s="3"/>
      <c r="G611" s="1"/>
      <c r="H611" s="3"/>
      <c r="I611" s="3"/>
    </row>
    <row r="612" spans="6:9">
      <c r="F612" s="3"/>
      <c r="G612" s="1"/>
      <c r="H612" s="3"/>
      <c r="I612" s="3"/>
    </row>
    <row r="613" spans="6:9">
      <c r="F613" s="3"/>
      <c r="G613" s="3"/>
      <c r="H613" s="3"/>
      <c r="I613" s="3"/>
    </row>
    <row r="614" spans="6:9">
      <c r="F614" s="3"/>
      <c r="G614" s="3"/>
      <c r="H614" s="3"/>
      <c r="I614" s="3"/>
    </row>
    <row r="615" spans="6:9">
      <c r="F615" s="3"/>
      <c r="G615" s="3"/>
      <c r="H615" s="3"/>
      <c r="I615" s="3"/>
    </row>
    <row r="616" spans="6:9">
      <c r="F616" s="3"/>
      <c r="G616" s="3"/>
      <c r="H616" s="3"/>
      <c r="I616" s="3"/>
    </row>
    <row r="617" spans="6:9">
      <c r="F617" s="3"/>
      <c r="G617" s="3"/>
      <c r="H617" s="3"/>
      <c r="I617" s="3"/>
    </row>
    <row r="618" spans="6:9">
      <c r="F618" s="3"/>
      <c r="G618" s="3"/>
      <c r="H618" s="3"/>
      <c r="I618" s="3"/>
    </row>
    <row r="619" spans="6:9">
      <c r="F619" s="3"/>
      <c r="G619" s="3"/>
      <c r="H619" s="3"/>
      <c r="I619" s="3"/>
    </row>
    <row r="620" spans="6:9">
      <c r="F620" s="3"/>
      <c r="G620" s="3"/>
      <c r="H620" s="3"/>
      <c r="I620" s="3"/>
    </row>
    <row r="621" spans="6:9">
      <c r="F621" s="3"/>
      <c r="G621" s="3"/>
      <c r="H621" s="3"/>
      <c r="I621" s="3"/>
    </row>
    <row r="622" spans="6:9">
      <c r="F622" s="3"/>
      <c r="G622" s="3"/>
      <c r="H622" s="3"/>
      <c r="I622" s="3"/>
    </row>
    <row r="623" spans="6:9">
      <c r="F623" s="3"/>
      <c r="G623" s="3"/>
      <c r="H623" s="3"/>
      <c r="I623" s="3"/>
    </row>
    <row r="624" spans="6:9">
      <c r="F624" s="3"/>
      <c r="G624" s="3"/>
      <c r="H624" s="3"/>
      <c r="I624" s="3"/>
    </row>
    <row r="625" spans="6:9">
      <c r="F625" s="3"/>
      <c r="G625" s="1"/>
      <c r="H625" s="3"/>
      <c r="I625" s="3"/>
    </row>
    <row r="626" spans="6:9">
      <c r="F626" s="3"/>
      <c r="G626" s="1"/>
      <c r="H626" s="3"/>
      <c r="I626" s="3"/>
    </row>
    <row r="627" spans="6:9">
      <c r="F627" s="3"/>
      <c r="G627" s="1"/>
      <c r="H627" s="3"/>
      <c r="I627" s="3"/>
    </row>
    <row r="628" spans="6:9">
      <c r="F628" s="3"/>
      <c r="G628" s="1"/>
      <c r="H628" s="3"/>
      <c r="I628" s="3"/>
    </row>
    <row r="629" spans="6:9">
      <c r="F629" s="3"/>
      <c r="G629" s="1"/>
      <c r="H629" s="3"/>
      <c r="I629" s="3"/>
    </row>
    <row r="630" spans="6:9">
      <c r="F630" s="3"/>
      <c r="G630" s="1"/>
      <c r="H630" s="3"/>
      <c r="I630" s="3"/>
    </row>
    <row r="631" spans="6:9">
      <c r="F631" s="3"/>
      <c r="G631" s="3"/>
      <c r="H631" s="3"/>
      <c r="I631" s="3"/>
    </row>
    <row r="632" spans="6:9">
      <c r="F632" s="3"/>
      <c r="G632" s="3"/>
      <c r="H632" s="3"/>
      <c r="I632" s="3"/>
    </row>
    <row r="633" spans="6:9">
      <c r="F633" s="3"/>
      <c r="G633" s="3"/>
      <c r="H633" s="3"/>
      <c r="I633" s="3"/>
    </row>
    <row r="634" spans="6:9">
      <c r="F634" s="3"/>
      <c r="G634" s="3"/>
      <c r="H634" s="3"/>
      <c r="I634" s="3"/>
    </row>
    <row r="635" spans="6:9">
      <c r="F635" s="3"/>
      <c r="G635" s="3"/>
      <c r="H635" s="3"/>
      <c r="I635" s="3"/>
    </row>
    <row r="636" spans="6:9">
      <c r="F636" s="3"/>
      <c r="G636" s="3"/>
      <c r="H636" s="3"/>
      <c r="I636" s="3"/>
    </row>
    <row r="637" spans="6:9">
      <c r="F637" s="3"/>
      <c r="G637" s="3"/>
      <c r="H637" s="3"/>
      <c r="I637" s="3"/>
    </row>
    <row r="638" spans="6:9">
      <c r="F638" s="3"/>
      <c r="G638" s="3"/>
      <c r="H638" s="3"/>
      <c r="I638" s="3"/>
    </row>
    <row r="639" spans="6:9">
      <c r="F639" s="3"/>
      <c r="G639" s="3"/>
      <c r="H639" s="3"/>
      <c r="I639" s="3"/>
    </row>
    <row r="640" spans="6:9">
      <c r="F640" s="3"/>
      <c r="G640" s="1"/>
      <c r="H640" s="3"/>
      <c r="I640" s="3"/>
    </row>
    <row r="641" spans="6:9">
      <c r="F641" s="3"/>
      <c r="G641" s="1"/>
      <c r="H641" s="3"/>
      <c r="I641" s="3"/>
    </row>
    <row r="642" spans="6:9">
      <c r="F642" s="3"/>
      <c r="G642" s="1"/>
      <c r="H642" s="3"/>
      <c r="I642" s="3"/>
    </row>
    <row r="643" spans="6:9">
      <c r="F643" s="3"/>
      <c r="G643" s="1"/>
      <c r="H643" s="3"/>
      <c r="I643" s="3"/>
    </row>
    <row r="644" spans="6:9">
      <c r="F644" s="3"/>
      <c r="G644" s="1"/>
      <c r="H644" s="3"/>
      <c r="I644" s="3"/>
    </row>
    <row r="645" spans="6:9">
      <c r="F645" s="3"/>
      <c r="G645" s="1"/>
      <c r="H645" s="3"/>
      <c r="I645" s="3"/>
    </row>
    <row r="646" spans="6:9">
      <c r="F646" s="3"/>
      <c r="G646" s="3"/>
      <c r="H646" s="3"/>
      <c r="I646" s="3"/>
    </row>
    <row r="647" spans="6:9">
      <c r="F647" s="3"/>
      <c r="G647" s="3"/>
      <c r="H647" s="3"/>
      <c r="I647" s="3"/>
    </row>
    <row r="648" spans="6:9">
      <c r="F648" s="3"/>
      <c r="G648" s="3"/>
      <c r="H648" s="3"/>
      <c r="I648" s="3"/>
    </row>
    <row r="649" spans="6:9">
      <c r="F649" s="3"/>
      <c r="G649" s="3"/>
      <c r="H649" s="3"/>
      <c r="I649" s="3"/>
    </row>
    <row r="650" spans="6:9">
      <c r="F650" s="3"/>
      <c r="G650" s="3"/>
      <c r="H650" s="3"/>
      <c r="I650" s="3"/>
    </row>
    <row r="651" spans="6:9">
      <c r="F651" s="3"/>
      <c r="G651" s="3"/>
      <c r="H651" s="3"/>
      <c r="I651" s="3"/>
    </row>
    <row r="652" spans="6:9">
      <c r="F652" s="3"/>
      <c r="G652" s="3"/>
      <c r="H652" s="3"/>
      <c r="I652" s="3"/>
    </row>
    <row r="653" spans="6:9">
      <c r="F653" s="3"/>
      <c r="G653" s="3"/>
      <c r="H653" s="3"/>
      <c r="I653" s="3"/>
    </row>
    <row r="654" spans="6:9">
      <c r="F654" s="3"/>
      <c r="G654" s="3"/>
      <c r="H654" s="3"/>
      <c r="I654" s="3"/>
    </row>
    <row r="655" spans="6:9">
      <c r="F655" s="3"/>
      <c r="G655" s="1"/>
      <c r="H655" s="3"/>
      <c r="I655" s="3"/>
    </row>
    <row r="656" spans="6:9">
      <c r="F656" s="3"/>
      <c r="G656" s="1"/>
      <c r="H656" s="3"/>
      <c r="I656" s="3"/>
    </row>
    <row r="657" spans="6:9">
      <c r="F657" s="3"/>
      <c r="G657" s="1"/>
      <c r="H657" s="3"/>
      <c r="I657" s="3"/>
    </row>
    <row r="658" spans="6:9">
      <c r="F658" s="3"/>
      <c r="G658" s="1"/>
      <c r="H658" s="3"/>
      <c r="I658" s="3"/>
    </row>
    <row r="659" spans="6:9">
      <c r="F659" s="3"/>
      <c r="G659" s="1"/>
      <c r="H659" s="3"/>
      <c r="I659" s="3"/>
    </row>
    <row r="660" spans="6:9">
      <c r="F660" s="3"/>
      <c r="G660" s="1"/>
      <c r="H660" s="3"/>
      <c r="I660" s="3"/>
    </row>
    <row r="661" spans="6:9">
      <c r="F661" s="3"/>
      <c r="G661" s="3"/>
      <c r="H661" s="3"/>
      <c r="I661" s="3"/>
    </row>
    <row r="662" spans="6:9">
      <c r="F662" s="3"/>
      <c r="G662" s="3"/>
      <c r="H662" s="3"/>
      <c r="I662" s="3"/>
    </row>
    <row r="663" spans="6:9">
      <c r="F663" s="3"/>
      <c r="G663" s="3"/>
      <c r="H663" s="3"/>
      <c r="I663" s="3"/>
    </row>
    <row r="664" spans="6:9">
      <c r="F664" s="3"/>
      <c r="G664" s="3"/>
      <c r="H664" s="3"/>
      <c r="I664" s="3"/>
    </row>
    <row r="665" spans="6:9">
      <c r="F665" s="3"/>
      <c r="G665" s="3"/>
      <c r="H665" s="3"/>
      <c r="I665" s="3"/>
    </row>
    <row r="666" spans="6:9">
      <c r="F666" s="3"/>
      <c r="G666" s="3"/>
      <c r="H666" s="3"/>
      <c r="I666" s="3"/>
    </row>
    <row r="667" spans="6:9">
      <c r="F667" s="3"/>
      <c r="G667" s="3"/>
      <c r="H667" s="3"/>
      <c r="I667" s="3"/>
    </row>
    <row r="668" spans="6:9">
      <c r="F668" s="3"/>
      <c r="G668" s="3"/>
      <c r="H668" s="3"/>
      <c r="I668" s="3"/>
    </row>
    <row r="669" spans="6:9">
      <c r="F669" s="3"/>
      <c r="G669" s="3"/>
      <c r="H669" s="3"/>
      <c r="I669" s="3"/>
    </row>
  </sheetData>
  <mergeCells count="39">
    <mergeCell ref="A18:K18"/>
    <mergeCell ref="B20:K20"/>
    <mergeCell ref="B21:K21"/>
    <mergeCell ref="A23:A24"/>
    <mergeCell ref="A3:A4"/>
    <mergeCell ref="B3:B4"/>
    <mergeCell ref="C3:C4"/>
    <mergeCell ref="D3:D4"/>
    <mergeCell ref="E3:E4"/>
    <mergeCell ref="J3:J4"/>
    <mergeCell ref="F3:F4"/>
    <mergeCell ref="G3:G4"/>
    <mergeCell ref="H3:H4"/>
    <mergeCell ref="I3:I4"/>
    <mergeCell ref="K3:K4"/>
    <mergeCell ref="B23:K23"/>
    <mergeCell ref="B24:K24"/>
    <mergeCell ref="B25:K25"/>
    <mergeCell ref="B26:K26"/>
    <mergeCell ref="A27:A30"/>
    <mergeCell ref="B27:K27"/>
    <mergeCell ref="B28:K28"/>
    <mergeCell ref="B29:K29"/>
    <mergeCell ref="B30:K30"/>
    <mergeCell ref="A32:A33"/>
    <mergeCell ref="B32:K32"/>
    <mergeCell ref="B33:K33"/>
    <mergeCell ref="A34:A36"/>
    <mergeCell ref="B34:F34"/>
    <mergeCell ref="G34:K36"/>
    <mergeCell ref="B35:F35"/>
    <mergeCell ref="B36:F36"/>
    <mergeCell ref="B42:K42"/>
    <mergeCell ref="B37:K37"/>
    <mergeCell ref="B38:K38"/>
    <mergeCell ref="A39:A40"/>
    <mergeCell ref="B39:K39"/>
    <mergeCell ref="B40:K40"/>
    <mergeCell ref="B41:K41"/>
  </mergeCells>
  <printOptions horizontalCentered="1"/>
  <pageMargins left="0.39000000000000007" right="0.39000000000000007" top="1.71" bottom="0.98" header="0.51" footer="0.51"/>
  <pageSetup paperSize="9" scale="55" fitToHeight="0" orientation="portrait" r:id="rId1"/>
  <headerFooter>
    <oddHeader>&amp;L&amp;"Garamond Premr Pro,Regular"&amp;20&amp;K001892PRICE LIST 2018&amp;16
&amp;20Navigare Yachting - Croatia&amp;16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dimension ref="A1:IV64"/>
  <sheetViews>
    <sheetView workbookViewId="0">
      <selection activeCell="Q64" sqref="Q64"/>
    </sheetView>
  </sheetViews>
  <sheetFormatPr defaultColWidth="8.625" defaultRowHeight="12.75"/>
  <sheetData>
    <row r="1" spans="1:256">
      <c r="A1" t="e">
        <f>IF(#REF!,"AAAAAE9y4AA=",0)</f>
        <v>#REF!</v>
      </c>
      <c r="B1" t="e">
        <f>AND(#REF!,"AAAAAE9y4AE=")</f>
        <v>#REF!</v>
      </c>
      <c r="C1" t="e">
        <f>AND(#REF!,"AAAAAE9y4AI=")</f>
        <v>#REF!</v>
      </c>
      <c r="D1" t="e">
        <f>AND(#REF!,"AAAAAE9y4AM=")</f>
        <v>#REF!</v>
      </c>
      <c r="E1" t="e">
        <f>AND(#REF!,"AAAAAE9y4AQ=")</f>
        <v>#REF!</v>
      </c>
      <c r="F1" t="e">
        <f>AND(#REF!,"AAAAAE9y4AU=")</f>
        <v>#REF!</v>
      </c>
      <c r="G1" t="e">
        <f>AND(#REF!,"AAAAAE9y4AY=")</f>
        <v>#REF!</v>
      </c>
      <c r="H1" t="e">
        <f>AND(#REF!,"AAAAAE9y4Ac=")</f>
        <v>#REF!</v>
      </c>
      <c r="I1" t="e">
        <f>AND(#REF!,"AAAAAE9y4Ag=")</f>
        <v>#REF!</v>
      </c>
      <c r="J1" t="e">
        <f>AND(#REF!,"AAAAAE9y4Ak=")</f>
        <v>#REF!</v>
      </c>
      <c r="K1" t="e">
        <f>AND(#REF!,"AAAAAE9y4Ao=")</f>
        <v>#REF!</v>
      </c>
      <c r="L1" t="e">
        <f>AND(#REF!,"AAAAAE9y4As=")</f>
        <v>#REF!</v>
      </c>
      <c r="M1" t="e">
        <f>AND(#REF!,"AAAAAE9y4Aw=")</f>
        <v>#REF!</v>
      </c>
      <c r="N1" t="e">
        <f>AND(#REF!,"AAAAAE9y4A0=")</f>
        <v>#REF!</v>
      </c>
      <c r="O1" t="e">
        <f>AND(#REF!,"AAAAAE9y4A4=")</f>
        <v>#REF!</v>
      </c>
      <c r="P1" t="e">
        <f>AND(#REF!,"AAAAAE9y4A8=")</f>
        <v>#REF!</v>
      </c>
      <c r="Q1" t="e">
        <f>AND(#REF!,"AAAAAE9y4BA=")</f>
        <v>#REF!</v>
      </c>
      <c r="R1" t="e">
        <f>AND(#REF!,"AAAAAE9y4BE=")</f>
        <v>#REF!</v>
      </c>
      <c r="S1" t="e">
        <f>AND(#REF!,"AAAAAE9y4BI=")</f>
        <v>#REF!</v>
      </c>
      <c r="T1" t="e">
        <f>AND(#REF!,"AAAAAE9y4BM=")</f>
        <v>#REF!</v>
      </c>
      <c r="U1" t="e">
        <f>AND(#REF!,"AAAAAE9y4BQ=")</f>
        <v>#REF!</v>
      </c>
      <c r="V1" t="e">
        <f>AND(#REF!,"AAAAAE9y4BU=")</f>
        <v>#REF!</v>
      </c>
      <c r="W1" t="e">
        <f>IF(#REF!,"AAAAAE9y4BY=",0)</f>
        <v>#REF!</v>
      </c>
      <c r="X1" t="e">
        <f>AND(#REF!,"AAAAAE9y4Bc=")</f>
        <v>#REF!</v>
      </c>
      <c r="Y1" t="e">
        <f>AND(#REF!,"AAAAAE9y4Bg=")</f>
        <v>#REF!</v>
      </c>
      <c r="Z1" t="e">
        <f>AND(#REF!,"AAAAAE9y4Bk=")</f>
        <v>#REF!</v>
      </c>
      <c r="AA1" t="e">
        <f>AND(#REF!,"AAAAAE9y4Bo=")</f>
        <v>#REF!</v>
      </c>
      <c r="AB1" t="e">
        <f>AND(#REF!,"AAAAAE9y4Bs=")</f>
        <v>#REF!</v>
      </c>
      <c r="AC1" t="e">
        <f>AND(#REF!,"AAAAAE9y4Bw=")</f>
        <v>#REF!</v>
      </c>
      <c r="AD1" t="e">
        <f>AND(#REF!,"AAAAAE9y4B0=")</f>
        <v>#REF!</v>
      </c>
      <c r="AE1" t="e">
        <f>AND(#REF!,"AAAAAE9y4B4=")</f>
        <v>#REF!</v>
      </c>
      <c r="AF1" t="e">
        <f>AND(#REF!,"AAAAAE9y4B8=")</f>
        <v>#REF!</v>
      </c>
      <c r="AG1" t="e">
        <f>AND(#REF!,"AAAAAE9y4CA=")</f>
        <v>#REF!</v>
      </c>
      <c r="AH1" t="e">
        <f>AND(#REF!,"AAAAAE9y4CE=")</f>
        <v>#REF!</v>
      </c>
      <c r="AI1" t="e">
        <f>AND(#REF!,"AAAAAE9y4CI=")</f>
        <v>#REF!</v>
      </c>
      <c r="AJ1" t="e">
        <f>AND(#REF!,"AAAAAE9y4CM=")</f>
        <v>#REF!</v>
      </c>
      <c r="AK1" t="e">
        <f>AND(#REF!,"AAAAAE9y4CQ=")</f>
        <v>#REF!</v>
      </c>
      <c r="AL1" t="e">
        <f>AND(#REF!,"AAAAAE9y4CU=")</f>
        <v>#REF!</v>
      </c>
      <c r="AM1" t="e">
        <f>AND(#REF!,"AAAAAE9y4CY=")</f>
        <v>#REF!</v>
      </c>
      <c r="AN1" t="e">
        <f>AND(#REF!,"AAAAAE9y4Cc=")</f>
        <v>#REF!</v>
      </c>
      <c r="AO1" t="e">
        <f>AND(#REF!,"AAAAAE9y4Cg=")</f>
        <v>#REF!</v>
      </c>
      <c r="AP1" t="e">
        <f>AND(#REF!,"AAAAAE9y4Ck=")</f>
        <v>#REF!</v>
      </c>
      <c r="AQ1" t="e">
        <f>AND(#REF!,"AAAAAE9y4Co=")</f>
        <v>#REF!</v>
      </c>
      <c r="AR1" t="e">
        <f>AND(#REF!,"AAAAAE9y4Cs=")</f>
        <v>#REF!</v>
      </c>
      <c r="AS1" t="e">
        <f>IF(#REF!,"AAAAAE9y4Cw=",0)</f>
        <v>#REF!</v>
      </c>
      <c r="AT1" t="e">
        <f>AND(#REF!,"AAAAAE9y4C0=")</f>
        <v>#REF!</v>
      </c>
      <c r="AU1" t="e">
        <f>AND(#REF!,"AAAAAE9y4C4=")</f>
        <v>#REF!</v>
      </c>
      <c r="AV1" t="e">
        <f>AND(#REF!,"AAAAAE9y4C8=")</f>
        <v>#REF!</v>
      </c>
      <c r="AW1" t="e">
        <f>AND(#REF!,"AAAAAE9y4DA=")</f>
        <v>#REF!</v>
      </c>
      <c r="AX1" t="e">
        <f>AND(#REF!,"AAAAAE9y4DE=")</f>
        <v>#REF!</v>
      </c>
      <c r="AY1" t="e">
        <f>AND(#REF!,"AAAAAE9y4DI=")</f>
        <v>#REF!</v>
      </c>
      <c r="AZ1" t="e">
        <f>AND(#REF!,"AAAAAE9y4DM=")</f>
        <v>#REF!</v>
      </c>
      <c r="BA1" t="e">
        <f>AND(#REF!,"AAAAAE9y4DQ=")</f>
        <v>#REF!</v>
      </c>
      <c r="BB1" t="e">
        <f>AND(#REF!,"AAAAAE9y4DU=")</f>
        <v>#REF!</v>
      </c>
      <c r="BC1" t="e">
        <f>AND(#REF!,"AAAAAE9y4DY=")</f>
        <v>#REF!</v>
      </c>
      <c r="BD1" t="e">
        <f>AND(#REF!,"AAAAAE9y4Dc=")</f>
        <v>#REF!</v>
      </c>
      <c r="BE1" t="e">
        <f>AND(#REF!,"AAAAAE9y4Dg=")</f>
        <v>#REF!</v>
      </c>
      <c r="BF1" t="e">
        <f>AND(#REF!,"AAAAAE9y4Dk=")</f>
        <v>#REF!</v>
      </c>
      <c r="BG1" t="e">
        <f>AND(#REF!,"AAAAAE9y4Do=")</f>
        <v>#REF!</v>
      </c>
      <c r="BH1" t="e">
        <f>AND(#REF!,"AAAAAE9y4Ds=")</f>
        <v>#REF!</v>
      </c>
      <c r="BI1" t="e">
        <f>AND(#REF!,"AAAAAE9y4Dw=")</f>
        <v>#REF!</v>
      </c>
      <c r="BJ1" t="e">
        <f>AND(#REF!,"AAAAAE9y4D0=")</f>
        <v>#REF!</v>
      </c>
      <c r="BK1" t="e">
        <f>AND(#REF!,"AAAAAE9y4D4=")</f>
        <v>#REF!</v>
      </c>
      <c r="BL1" t="e">
        <f>AND(#REF!,"AAAAAE9y4D8=")</f>
        <v>#REF!</v>
      </c>
      <c r="BM1" t="e">
        <f>AND(#REF!,"AAAAAE9y4EA=")</f>
        <v>#REF!</v>
      </c>
      <c r="BN1" t="e">
        <f>AND(#REF!,"AAAAAE9y4EE=")</f>
        <v>#REF!</v>
      </c>
      <c r="BO1" t="e">
        <f>IF(#REF!,"AAAAAE9y4EI=",0)</f>
        <v>#REF!</v>
      </c>
      <c r="BP1" t="e">
        <f>AND(#REF!,"AAAAAE9y4EM=")</f>
        <v>#REF!</v>
      </c>
      <c r="BQ1" t="e">
        <f>AND(#REF!,"AAAAAE9y4EQ=")</f>
        <v>#REF!</v>
      </c>
      <c r="BR1" t="e">
        <f>AND(#REF!,"AAAAAE9y4EU=")</f>
        <v>#REF!</v>
      </c>
      <c r="BS1" t="e">
        <f>AND(#REF!,"AAAAAE9y4EY=")</f>
        <v>#REF!</v>
      </c>
      <c r="BT1" t="e">
        <f>AND(#REF!,"AAAAAE9y4Ec=")</f>
        <v>#REF!</v>
      </c>
      <c r="BU1" t="e">
        <f>AND(#REF!,"AAAAAE9y4Eg=")</f>
        <v>#REF!</v>
      </c>
      <c r="BV1" t="e">
        <f>AND(#REF!,"AAAAAE9y4Ek=")</f>
        <v>#REF!</v>
      </c>
      <c r="BW1" t="e">
        <f>AND(#REF!,"AAAAAE9y4Eo=")</f>
        <v>#REF!</v>
      </c>
      <c r="BX1" t="e">
        <f>AND(#REF!,"AAAAAE9y4Es=")</f>
        <v>#REF!</v>
      </c>
      <c r="BY1" t="e">
        <f>AND(#REF!,"AAAAAE9y4Ew=")</f>
        <v>#REF!</v>
      </c>
      <c r="BZ1" t="e">
        <f>AND(#REF!,"AAAAAE9y4E0=")</f>
        <v>#REF!</v>
      </c>
      <c r="CA1" t="e">
        <f>AND(#REF!,"AAAAAE9y4E4=")</f>
        <v>#REF!</v>
      </c>
      <c r="CB1" t="e">
        <f>AND(#REF!,"AAAAAE9y4E8=")</f>
        <v>#REF!</v>
      </c>
      <c r="CC1" t="e">
        <f>AND(#REF!,"AAAAAE9y4FA=")</f>
        <v>#REF!</v>
      </c>
      <c r="CD1" t="e">
        <f>AND(#REF!,"AAAAAE9y4FE=")</f>
        <v>#REF!</v>
      </c>
      <c r="CE1" t="e">
        <f>AND(#REF!,"AAAAAE9y4FI=")</f>
        <v>#REF!</v>
      </c>
      <c r="CF1" t="e">
        <f>AND(#REF!,"AAAAAE9y4FM=")</f>
        <v>#REF!</v>
      </c>
      <c r="CG1" t="e">
        <f>AND(#REF!,"AAAAAE9y4FQ=")</f>
        <v>#REF!</v>
      </c>
      <c r="CH1" t="e">
        <f>AND(#REF!,"AAAAAE9y4FU=")</f>
        <v>#REF!</v>
      </c>
      <c r="CI1" t="e">
        <f>AND(#REF!,"AAAAAE9y4FY=")</f>
        <v>#REF!</v>
      </c>
      <c r="CJ1" t="e">
        <f>AND(#REF!,"AAAAAE9y4Fc=")</f>
        <v>#REF!</v>
      </c>
      <c r="CK1" t="e">
        <f>IF(#REF!,"AAAAAE9y4Fg=",0)</f>
        <v>#REF!</v>
      </c>
      <c r="CL1" t="e">
        <f>AND(#REF!,"AAAAAE9y4Fk=")</f>
        <v>#REF!</v>
      </c>
      <c r="CM1" t="e">
        <f>AND(#REF!,"AAAAAE9y4Fo=")</f>
        <v>#REF!</v>
      </c>
      <c r="CN1" t="e">
        <f>AND(#REF!,"AAAAAE9y4Fs=")</f>
        <v>#REF!</v>
      </c>
      <c r="CO1" t="e">
        <f>AND(#REF!,"AAAAAE9y4Fw=")</f>
        <v>#REF!</v>
      </c>
      <c r="CP1" t="e">
        <f>AND(#REF!,"AAAAAE9y4F0=")</f>
        <v>#REF!</v>
      </c>
      <c r="CQ1" t="e">
        <f>AND(#REF!,"AAAAAE9y4F4=")</f>
        <v>#REF!</v>
      </c>
      <c r="CR1" t="e">
        <f>AND(#REF!,"AAAAAE9y4F8=")</f>
        <v>#REF!</v>
      </c>
      <c r="CS1" t="e">
        <f>AND(#REF!,"AAAAAE9y4GA=")</f>
        <v>#REF!</v>
      </c>
      <c r="CT1" t="e">
        <f>AND(#REF!,"AAAAAE9y4GE=")</f>
        <v>#REF!</v>
      </c>
      <c r="CU1" t="e">
        <f>AND(#REF!,"AAAAAE9y4GI=")</f>
        <v>#REF!</v>
      </c>
      <c r="CV1" t="e">
        <f>AND(#REF!,"AAAAAE9y4GM=")</f>
        <v>#REF!</v>
      </c>
      <c r="CW1" t="e">
        <f>AND(#REF!,"AAAAAE9y4GQ=")</f>
        <v>#REF!</v>
      </c>
      <c r="CX1" t="e">
        <f>AND(#REF!,"AAAAAE9y4GU=")</f>
        <v>#REF!</v>
      </c>
      <c r="CY1" t="e">
        <f>AND(#REF!,"AAAAAE9y4GY=")</f>
        <v>#REF!</v>
      </c>
      <c r="CZ1" t="e">
        <f>AND(#REF!,"AAAAAE9y4Gc=")</f>
        <v>#REF!</v>
      </c>
      <c r="DA1" t="e">
        <f>AND(#REF!,"AAAAAE9y4Gg=")</f>
        <v>#REF!</v>
      </c>
      <c r="DB1" t="e">
        <f>AND(#REF!,"AAAAAE9y4Gk=")</f>
        <v>#REF!</v>
      </c>
      <c r="DC1" t="e">
        <f>AND(#REF!,"AAAAAE9y4Go=")</f>
        <v>#REF!</v>
      </c>
      <c r="DD1" t="e">
        <f>AND(#REF!,"AAAAAE9y4Gs=")</f>
        <v>#REF!</v>
      </c>
      <c r="DE1" t="e">
        <f>AND(#REF!,"AAAAAE9y4Gw=")</f>
        <v>#REF!</v>
      </c>
      <c r="DF1" t="e">
        <f>AND(#REF!,"AAAAAE9y4G0=")</f>
        <v>#REF!</v>
      </c>
      <c r="DG1" t="e">
        <f>IF(#REF!,"AAAAAE9y4G4=",0)</f>
        <v>#REF!</v>
      </c>
      <c r="DH1" t="e">
        <f>AND(#REF!,"AAAAAE9y4G8=")</f>
        <v>#REF!</v>
      </c>
      <c r="DI1" t="e">
        <f>AND(#REF!,"AAAAAE9y4HA=")</f>
        <v>#REF!</v>
      </c>
      <c r="DJ1" t="e">
        <f>AND(#REF!,"AAAAAE9y4HE=")</f>
        <v>#REF!</v>
      </c>
      <c r="DK1" t="e">
        <f>AND(#REF!,"AAAAAE9y4HI=")</f>
        <v>#REF!</v>
      </c>
      <c r="DL1" t="e">
        <f>AND(#REF!,"AAAAAE9y4HM=")</f>
        <v>#REF!</v>
      </c>
      <c r="DM1" t="e">
        <f>AND(#REF!,"AAAAAE9y4HQ=")</f>
        <v>#REF!</v>
      </c>
      <c r="DN1" t="e">
        <f>AND(#REF!,"AAAAAE9y4HU=")</f>
        <v>#REF!</v>
      </c>
      <c r="DO1" t="e">
        <f>AND(#REF!,"AAAAAE9y4HY=")</f>
        <v>#REF!</v>
      </c>
      <c r="DP1" t="e">
        <f>AND(#REF!,"AAAAAE9y4Hc=")</f>
        <v>#REF!</v>
      </c>
      <c r="DQ1" t="e">
        <f>AND(#REF!,"AAAAAE9y4Hg=")</f>
        <v>#REF!</v>
      </c>
      <c r="DR1" t="e">
        <f>AND(#REF!,"AAAAAE9y4Hk=")</f>
        <v>#REF!</v>
      </c>
      <c r="DS1" t="e">
        <f>AND(#REF!,"AAAAAE9y4Ho=")</f>
        <v>#REF!</v>
      </c>
      <c r="DT1" t="e">
        <f>AND(#REF!,"AAAAAE9y4Hs=")</f>
        <v>#REF!</v>
      </c>
      <c r="DU1" t="e">
        <f>AND(#REF!,"AAAAAE9y4Hw=")</f>
        <v>#REF!</v>
      </c>
      <c r="DV1" t="e">
        <f>AND(#REF!,"AAAAAE9y4H0=")</f>
        <v>#REF!</v>
      </c>
      <c r="DW1" t="e">
        <f>AND(#REF!,"AAAAAE9y4H4=")</f>
        <v>#REF!</v>
      </c>
      <c r="DX1" t="e">
        <f>AND(#REF!,"AAAAAE9y4H8=")</f>
        <v>#REF!</v>
      </c>
      <c r="DY1" t="e">
        <f>AND(#REF!,"AAAAAE9y4IA=")</f>
        <v>#REF!</v>
      </c>
      <c r="DZ1" t="e">
        <f>AND(#REF!,"AAAAAE9y4IE=")</f>
        <v>#REF!</v>
      </c>
      <c r="EA1" t="e">
        <f>AND(#REF!,"AAAAAE9y4II=")</f>
        <v>#REF!</v>
      </c>
      <c r="EB1" t="e">
        <f>AND(#REF!,"AAAAAE9y4IM=")</f>
        <v>#REF!</v>
      </c>
      <c r="EC1" t="e">
        <f>IF(#REF!,"AAAAAE9y4IQ=",0)</f>
        <v>#REF!</v>
      </c>
      <c r="ED1" t="e">
        <f>AND(#REF!,"AAAAAE9y4IU=")</f>
        <v>#REF!</v>
      </c>
      <c r="EE1" t="e">
        <f>AND(#REF!,"AAAAAE9y4IY=")</f>
        <v>#REF!</v>
      </c>
      <c r="EF1" t="e">
        <f>AND(#REF!,"AAAAAE9y4Ic=")</f>
        <v>#REF!</v>
      </c>
      <c r="EG1" t="e">
        <f>AND(#REF!,"AAAAAE9y4Ig=")</f>
        <v>#REF!</v>
      </c>
      <c r="EH1" t="e">
        <f>AND(#REF!,"AAAAAE9y4Ik=")</f>
        <v>#REF!</v>
      </c>
      <c r="EI1" t="e">
        <f>AND(#REF!,"AAAAAE9y4Io=")</f>
        <v>#REF!</v>
      </c>
      <c r="EJ1" t="e">
        <f>AND(#REF!,"AAAAAE9y4Is=")</f>
        <v>#REF!</v>
      </c>
      <c r="EK1" t="e">
        <f>AND(#REF!,"AAAAAE9y4Iw=")</f>
        <v>#REF!</v>
      </c>
      <c r="EL1" t="e">
        <f>AND(#REF!,"AAAAAE9y4I0=")</f>
        <v>#REF!</v>
      </c>
      <c r="EM1" t="e">
        <f>AND(#REF!,"AAAAAE9y4I4=")</f>
        <v>#REF!</v>
      </c>
      <c r="EN1" t="e">
        <f>AND(#REF!,"AAAAAE9y4I8=")</f>
        <v>#REF!</v>
      </c>
      <c r="EO1" t="e">
        <f>AND(#REF!,"AAAAAE9y4JA=")</f>
        <v>#REF!</v>
      </c>
      <c r="EP1" t="e">
        <f>AND(#REF!,"AAAAAE9y4JE=")</f>
        <v>#REF!</v>
      </c>
      <c r="EQ1" t="e">
        <f>AND(#REF!,"AAAAAE9y4JI=")</f>
        <v>#REF!</v>
      </c>
      <c r="ER1" t="e">
        <f>AND(#REF!,"AAAAAE9y4JM=")</f>
        <v>#REF!</v>
      </c>
      <c r="ES1" t="e">
        <f>AND(#REF!,"AAAAAE9y4JQ=")</f>
        <v>#REF!</v>
      </c>
      <c r="ET1" t="e">
        <f>AND(#REF!,"AAAAAE9y4JU=")</f>
        <v>#REF!</v>
      </c>
      <c r="EU1" t="e">
        <f>AND(#REF!,"AAAAAE9y4JY=")</f>
        <v>#REF!</v>
      </c>
      <c r="EV1" t="e">
        <f>AND(#REF!,"AAAAAE9y4Jc=")</f>
        <v>#REF!</v>
      </c>
      <c r="EW1" t="e">
        <f>AND(#REF!,"AAAAAE9y4Jg=")</f>
        <v>#REF!</v>
      </c>
      <c r="EX1" t="e">
        <f>AND(#REF!,"AAAAAE9y4Jk=")</f>
        <v>#REF!</v>
      </c>
      <c r="EY1" t="e">
        <f>IF(#REF!,"AAAAAE9y4Jo=",0)</f>
        <v>#REF!</v>
      </c>
      <c r="EZ1" t="e">
        <f>AND(#REF!,"AAAAAE9y4Js=")</f>
        <v>#REF!</v>
      </c>
      <c r="FA1" t="e">
        <f>AND(#REF!,"AAAAAE9y4Jw=")</f>
        <v>#REF!</v>
      </c>
      <c r="FB1" t="e">
        <f>AND(#REF!,"AAAAAE9y4J0=")</f>
        <v>#REF!</v>
      </c>
      <c r="FC1" t="e">
        <f>AND(#REF!,"AAAAAE9y4J4=")</f>
        <v>#REF!</v>
      </c>
      <c r="FD1" t="e">
        <f>AND(#REF!,"AAAAAE9y4J8=")</f>
        <v>#REF!</v>
      </c>
      <c r="FE1" t="e">
        <f>AND(#REF!,"AAAAAE9y4KA=")</f>
        <v>#REF!</v>
      </c>
      <c r="FF1" t="e">
        <f>AND(#REF!,"AAAAAE9y4KE=")</f>
        <v>#REF!</v>
      </c>
      <c r="FG1" t="e">
        <f>AND(#REF!,"AAAAAE9y4KI=")</f>
        <v>#REF!</v>
      </c>
      <c r="FH1" t="e">
        <f>AND(#REF!,"AAAAAE9y4KM=")</f>
        <v>#REF!</v>
      </c>
      <c r="FI1" t="e">
        <f>AND(#REF!,"AAAAAE9y4KQ=")</f>
        <v>#REF!</v>
      </c>
      <c r="FJ1" t="e">
        <f>AND(#REF!,"AAAAAE9y4KU=")</f>
        <v>#REF!</v>
      </c>
      <c r="FK1" t="e">
        <f>AND(#REF!,"AAAAAE9y4KY=")</f>
        <v>#REF!</v>
      </c>
      <c r="FL1" t="e">
        <f>AND(#REF!,"AAAAAE9y4Kc=")</f>
        <v>#REF!</v>
      </c>
      <c r="FM1" t="e">
        <f>AND(#REF!,"AAAAAE9y4Kg=")</f>
        <v>#REF!</v>
      </c>
      <c r="FN1" t="e">
        <f>AND(#REF!,"AAAAAE9y4Kk=")</f>
        <v>#REF!</v>
      </c>
      <c r="FO1" t="e">
        <f>AND(#REF!,"AAAAAE9y4Ko=")</f>
        <v>#REF!</v>
      </c>
      <c r="FP1" t="e">
        <f>AND(#REF!,"AAAAAE9y4Ks=")</f>
        <v>#REF!</v>
      </c>
      <c r="FQ1" t="e">
        <f>AND(#REF!,"AAAAAE9y4Kw=")</f>
        <v>#REF!</v>
      </c>
      <c r="FR1" t="e">
        <f>AND(#REF!,"AAAAAE9y4K0=")</f>
        <v>#REF!</v>
      </c>
      <c r="FS1" t="e">
        <f>AND(#REF!,"AAAAAE9y4K4=")</f>
        <v>#REF!</v>
      </c>
      <c r="FT1" t="e">
        <f>AND(#REF!,"AAAAAE9y4K8=")</f>
        <v>#REF!</v>
      </c>
      <c r="FU1" t="e">
        <f>IF(#REF!,"AAAAAE9y4LA=",0)</f>
        <v>#REF!</v>
      </c>
      <c r="FV1" t="e">
        <f>AND(#REF!,"AAAAAE9y4LE=")</f>
        <v>#REF!</v>
      </c>
      <c r="FW1" t="e">
        <f>AND(#REF!,"AAAAAE9y4LI=")</f>
        <v>#REF!</v>
      </c>
      <c r="FX1" t="e">
        <f>AND(#REF!,"AAAAAE9y4LM=")</f>
        <v>#REF!</v>
      </c>
      <c r="FY1" t="e">
        <f>AND(#REF!,"AAAAAE9y4LQ=")</f>
        <v>#REF!</v>
      </c>
      <c r="FZ1" t="e">
        <f>AND(#REF!,"AAAAAE9y4LU=")</f>
        <v>#REF!</v>
      </c>
      <c r="GA1" t="e">
        <f>AND(#REF!,"AAAAAE9y4LY=")</f>
        <v>#REF!</v>
      </c>
      <c r="GB1" t="e">
        <f>AND(#REF!,"AAAAAE9y4Lc=")</f>
        <v>#REF!</v>
      </c>
      <c r="GC1" t="e">
        <f>AND(#REF!,"AAAAAE9y4Lg=")</f>
        <v>#REF!</v>
      </c>
      <c r="GD1" t="e">
        <f>AND(#REF!,"AAAAAE9y4Lk=")</f>
        <v>#REF!</v>
      </c>
      <c r="GE1" t="e">
        <f>AND(#REF!,"AAAAAE9y4Lo=")</f>
        <v>#REF!</v>
      </c>
      <c r="GF1" t="e">
        <f>AND(#REF!,"AAAAAE9y4Ls=")</f>
        <v>#REF!</v>
      </c>
      <c r="GG1" t="e">
        <f>AND(#REF!,"AAAAAE9y4Lw=")</f>
        <v>#REF!</v>
      </c>
      <c r="GH1" t="e">
        <f>AND(#REF!,"AAAAAE9y4L0=")</f>
        <v>#REF!</v>
      </c>
      <c r="GI1" t="e">
        <f>AND(#REF!,"AAAAAE9y4L4=")</f>
        <v>#REF!</v>
      </c>
      <c r="GJ1" t="e">
        <f>AND(#REF!,"AAAAAE9y4L8=")</f>
        <v>#REF!</v>
      </c>
      <c r="GK1" t="e">
        <f>AND(#REF!,"AAAAAE9y4MA=")</f>
        <v>#REF!</v>
      </c>
      <c r="GL1" t="e">
        <f>AND(#REF!,"AAAAAE9y4ME=")</f>
        <v>#REF!</v>
      </c>
      <c r="GM1" t="e">
        <f>AND(#REF!,"AAAAAE9y4MI=")</f>
        <v>#REF!</v>
      </c>
      <c r="GN1" t="e">
        <f>AND(#REF!,"AAAAAE9y4MM=")</f>
        <v>#REF!</v>
      </c>
      <c r="GO1" t="e">
        <f>AND(#REF!,"AAAAAE9y4MQ=")</f>
        <v>#REF!</v>
      </c>
      <c r="GP1" t="e">
        <f>AND(#REF!,"AAAAAE9y4MU=")</f>
        <v>#REF!</v>
      </c>
      <c r="GQ1" t="e">
        <f>IF(#REF!,"AAAAAE9y4MY=",0)</f>
        <v>#REF!</v>
      </c>
      <c r="GR1" t="e">
        <f>AND(#REF!,"AAAAAE9y4Mc=")</f>
        <v>#REF!</v>
      </c>
      <c r="GS1" t="e">
        <f>AND(#REF!,"AAAAAE9y4Mg=")</f>
        <v>#REF!</v>
      </c>
      <c r="GT1" t="e">
        <f>AND(#REF!,"AAAAAE9y4Mk=")</f>
        <v>#REF!</v>
      </c>
      <c r="GU1" t="e">
        <f>AND(#REF!,"AAAAAE9y4Mo=")</f>
        <v>#REF!</v>
      </c>
      <c r="GV1" t="e">
        <f>AND(#REF!,"AAAAAE9y4Ms=")</f>
        <v>#REF!</v>
      </c>
      <c r="GW1" t="e">
        <f>AND(#REF!,"AAAAAE9y4Mw=")</f>
        <v>#REF!</v>
      </c>
      <c r="GX1" t="e">
        <f>AND(#REF!,"AAAAAE9y4M0=")</f>
        <v>#REF!</v>
      </c>
      <c r="GY1" t="e">
        <f>AND(#REF!,"AAAAAE9y4M4=")</f>
        <v>#REF!</v>
      </c>
      <c r="GZ1" t="e">
        <f>AND(#REF!,"AAAAAE9y4M8=")</f>
        <v>#REF!</v>
      </c>
      <c r="HA1" t="e">
        <f>AND(#REF!,"AAAAAE9y4NA=")</f>
        <v>#REF!</v>
      </c>
      <c r="HB1" t="e">
        <f>AND(#REF!,"AAAAAE9y4NE=")</f>
        <v>#REF!</v>
      </c>
      <c r="HC1" t="e">
        <f>AND(#REF!,"AAAAAE9y4NI=")</f>
        <v>#REF!</v>
      </c>
      <c r="HD1" t="e">
        <f>AND(#REF!,"AAAAAE9y4NM=")</f>
        <v>#REF!</v>
      </c>
      <c r="HE1" t="e">
        <f>AND(#REF!,"AAAAAE9y4NQ=")</f>
        <v>#REF!</v>
      </c>
      <c r="HF1" t="e">
        <f>AND(#REF!,"AAAAAE9y4NU=")</f>
        <v>#REF!</v>
      </c>
      <c r="HG1" t="e">
        <f>AND(#REF!,"AAAAAE9y4NY=")</f>
        <v>#REF!</v>
      </c>
      <c r="HH1" t="e">
        <f>AND(#REF!,"AAAAAE9y4Nc=")</f>
        <v>#REF!</v>
      </c>
      <c r="HI1" t="e">
        <f>AND(#REF!,"AAAAAE9y4Ng=")</f>
        <v>#REF!</v>
      </c>
      <c r="HJ1" t="e">
        <f>AND(#REF!,"AAAAAE9y4Nk=")</f>
        <v>#REF!</v>
      </c>
      <c r="HK1" t="e">
        <f>AND(#REF!,"AAAAAE9y4No=")</f>
        <v>#REF!</v>
      </c>
      <c r="HL1" t="e">
        <f>AND(#REF!,"AAAAAE9y4Ns=")</f>
        <v>#REF!</v>
      </c>
      <c r="HM1" t="e">
        <f>IF(#REF!,"AAAAAE9y4Nw=",0)</f>
        <v>#REF!</v>
      </c>
      <c r="HN1" t="e">
        <f>AND(#REF!,"AAAAAE9y4N0=")</f>
        <v>#REF!</v>
      </c>
      <c r="HO1" t="e">
        <f>AND(#REF!,"AAAAAE9y4N4=")</f>
        <v>#REF!</v>
      </c>
      <c r="HP1" t="e">
        <f>AND(#REF!,"AAAAAE9y4N8=")</f>
        <v>#REF!</v>
      </c>
      <c r="HQ1" t="e">
        <f>AND(#REF!,"AAAAAE9y4OA=")</f>
        <v>#REF!</v>
      </c>
      <c r="HR1" t="e">
        <f>AND(#REF!,"AAAAAE9y4OE=")</f>
        <v>#REF!</v>
      </c>
      <c r="HS1" t="e">
        <f>AND(#REF!,"AAAAAE9y4OI=")</f>
        <v>#REF!</v>
      </c>
      <c r="HT1" t="e">
        <f>AND(#REF!,"AAAAAE9y4OM=")</f>
        <v>#REF!</v>
      </c>
      <c r="HU1" t="e">
        <f>AND(#REF!,"AAAAAE9y4OQ=")</f>
        <v>#REF!</v>
      </c>
      <c r="HV1" t="e">
        <f>AND(#REF!,"AAAAAE9y4OU=")</f>
        <v>#REF!</v>
      </c>
      <c r="HW1" t="e">
        <f>AND(#REF!,"AAAAAE9y4OY=")</f>
        <v>#REF!</v>
      </c>
      <c r="HX1" t="e">
        <f>AND(#REF!,"AAAAAE9y4Oc=")</f>
        <v>#REF!</v>
      </c>
      <c r="HY1" t="e">
        <f>AND(#REF!,"AAAAAE9y4Og=")</f>
        <v>#REF!</v>
      </c>
      <c r="HZ1" t="e">
        <f>AND(#REF!,"AAAAAE9y4Ok=")</f>
        <v>#REF!</v>
      </c>
      <c r="IA1" t="e">
        <f>AND(#REF!,"AAAAAE9y4Oo=")</f>
        <v>#REF!</v>
      </c>
      <c r="IB1" t="e">
        <f>AND(#REF!,"AAAAAE9y4Os=")</f>
        <v>#REF!</v>
      </c>
      <c r="IC1" t="e">
        <f>AND(#REF!,"AAAAAE9y4Ow=")</f>
        <v>#REF!</v>
      </c>
      <c r="ID1" t="e">
        <f>AND(#REF!,"AAAAAE9y4O0=")</f>
        <v>#REF!</v>
      </c>
      <c r="IE1" t="e">
        <f>AND(#REF!,"AAAAAE9y4O4=")</f>
        <v>#REF!</v>
      </c>
      <c r="IF1" t="e">
        <f>AND(#REF!,"AAAAAE9y4O8=")</f>
        <v>#REF!</v>
      </c>
      <c r="IG1" t="e">
        <f>AND(#REF!,"AAAAAE9y4PA=")</f>
        <v>#REF!</v>
      </c>
      <c r="IH1" t="e">
        <f>AND(#REF!,"AAAAAE9y4PE=")</f>
        <v>#REF!</v>
      </c>
      <c r="II1" t="e">
        <f>IF(#REF!,"AAAAAE9y4PI=",0)</f>
        <v>#REF!</v>
      </c>
      <c r="IJ1" t="e">
        <f>AND(#REF!,"AAAAAE9y4PM=")</f>
        <v>#REF!</v>
      </c>
      <c r="IK1" t="e">
        <f>AND(#REF!,"AAAAAE9y4PQ=")</f>
        <v>#REF!</v>
      </c>
      <c r="IL1" t="e">
        <f>AND(#REF!,"AAAAAE9y4PU=")</f>
        <v>#REF!</v>
      </c>
      <c r="IM1" t="e">
        <f>AND(#REF!,"AAAAAE9y4PY=")</f>
        <v>#REF!</v>
      </c>
      <c r="IN1" t="e">
        <f>AND(#REF!,"AAAAAE9y4Pc=")</f>
        <v>#REF!</v>
      </c>
      <c r="IO1" t="e">
        <f>AND(#REF!,"AAAAAE9y4Pg=")</f>
        <v>#REF!</v>
      </c>
      <c r="IP1" t="e">
        <f>AND(#REF!,"AAAAAE9y4Pk=")</f>
        <v>#REF!</v>
      </c>
      <c r="IQ1" t="e">
        <f>AND(#REF!,"AAAAAE9y4Po=")</f>
        <v>#REF!</v>
      </c>
      <c r="IR1" t="e">
        <f>AND(#REF!,"AAAAAE9y4Ps=")</f>
        <v>#REF!</v>
      </c>
      <c r="IS1" t="e">
        <f>AND(#REF!,"AAAAAE9y4Pw=")</f>
        <v>#REF!</v>
      </c>
      <c r="IT1" t="e">
        <f>AND(#REF!,"AAAAAE9y4P0=")</f>
        <v>#REF!</v>
      </c>
      <c r="IU1" t="e">
        <f>AND(#REF!,"AAAAAE9y4P4=")</f>
        <v>#REF!</v>
      </c>
      <c r="IV1" t="e">
        <f>AND(#REF!,"AAAAAE9y4P8=")</f>
        <v>#REF!</v>
      </c>
    </row>
    <row r="2" spans="1:256">
      <c r="A2" t="e">
        <f>AND(#REF!,"AAAAAHc/zAA=")</f>
        <v>#REF!</v>
      </c>
      <c r="B2" t="e">
        <f>AND(#REF!,"AAAAAHc/zAE=")</f>
        <v>#REF!</v>
      </c>
      <c r="C2" t="e">
        <f>AND(#REF!,"AAAAAHc/zAI=")</f>
        <v>#REF!</v>
      </c>
      <c r="D2" t="e">
        <f>AND(#REF!,"AAAAAHc/zAM=")</f>
        <v>#REF!</v>
      </c>
      <c r="E2" t="e">
        <f>AND(#REF!,"AAAAAHc/zAQ=")</f>
        <v>#REF!</v>
      </c>
      <c r="F2" t="e">
        <f>AND(#REF!,"AAAAAHc/zAU=")</f>
        <v>#REF!</v>
      </c>
      <c r="G2" t="e">
        <f>AND(#REF!,"AAAAAHc/zAY=")</f>
        <v>#REF!</v>
      </c>
      <c r="H2" t="e">
        <f>AND(#REF!,"AAAAAHc/zAc=")</f>
        <v>#REF!</v>
      </c>
      <c r="I2" t="e">
        <f>IF(#REF!,"AAAAAHc/zAg=",0)</f>
        <v>#REF!</v>
      </c>
      <c r="J2" t="e">
        <f>AND(#REF!,"AAAAAHc/zAk=")</f>
        <v>#REF!</v>
      </c>
      <c r="K2" t="e">
        <f>AND(#REF!,"AAAAAHc/zAo=")</f>
        <v>#REF!</v>
      </c>
      <c r="L2" t="e">
        <f>AND(#REF!,"AAAAAHc/zAs=")</f>
        <v>#REF!</v>
      </c>
      <c r="M2" t="e">
        <f>AND(#REF!,"AAAAAHc/zAw=")</f>
        <v>#REF!</v>
      </c>
      <c r="N2" t="e">
        <f>AND(#REF!,"AAAAAHc/zA0=")</f>
        <v>#REF!</v>
      </c>
      <c r="O2" t="e">
        <f>AND(#REF!,"AAAAAHc/zA4=")</f>
        <v>#REF!</v>
      </c>
      <c r="P2" t="e">
        <f>AND(#REF!,"AAAAAHc/zA8=")</f>
        <v>#REF!</v>
      </c>
      <c r="Q2" t="e">
        <f>AND(#REF!,"AAAAAHc/zBA=")</f>
        <v>#REF!</v>
      </c>
      <c r="R2" t="e">
        <f>AND(#REF!,"AAAAAHc/zBE=")</f>
        <v>#REF!</v>
      </c>
      <c r="S2" t="e">
        <f>AND(#REF!,"AAAAAHc/zBI=")</f>
        <v>#REF!</v>
      </c>
      <c r="T2" t="e">
        <f>AND(#REF!,"AAAAAHc/zBM=")</f>
        <v>#REF!</v>
      </c>
      <c r="U2" t="e">
        <f>AND(#REF!,"AAAAAHc/zBQ=")</f>
        <v>#REF!</v>
      </c>
      <c r="V2" t="e">
        <f>AND(#REF!,"AAAAAHc/zBU=")</f>
        <v>#REF!</v>
      </c>
      <c r="W2" t="e">
        <f>AND(#REF!,"AAAAAHc/zBY=")</f>
        <v>#REF!</v>
      </c>
      <c r="X2" t="e">
        <f>AND(#REF!,"AAAAAHc/zBc=")</f>
        <v>#REF!</v>
      </c>
      <c r="Y2" t="e">
        <f>AND(#REF!,"AAAAAHc/zBg=")</f>
        <v>#REF!</v>
      </c>
      <c r="Z2" t="e">
        <f>AND(#REF!,"AAAAAHc/zBk=")</f>
        <v>#REF!</v>
      </c>
      <c r="AA2" t="e">
        <f>AND(#REF!,"AAAAAHc/zBo=")</f>
        <v>#REF!</v>
      </c>
      <c r="AB2" t="e">
        <f>AND(#REF!,"AAAAAHc/zBs=")</f>
        <v>#REF!</v>
      </c>
      <c r="AC2" t="e">
        <f>AND(#REF!,"AAAAAHc/zBw=")</f>
        <v>#REF!</v>
      </c>
      <c r="AD2" t="e">
        <f>AND(#REF!,"AAAAAHc/zB0=")</f>
        <v>#REF!</v>
      </c>
      <c r="AE2" t="e">
        <f>IF(#REF!,"AAAAAHc/zB4=",0)</f>
        <v>#REF!</v>
      </c>
      <c r="AF2" t="e">
        <f>AND(#REF!,"AAAAAHc/zB8=")</f>
        <v>#REF!</v>
      </c>
      <c r="AG2" t="e">
        <f>AND(#REF!,"AAAAAHc/zCA=")</f>
        <v>#REF!</v>
      </c>
      <c r="AH2" t="e">
        <f>AND(#REF!,"AAAAAHc/zCE=")</f>
        <v>#REF!</v>
      </c>
      <c r="AI2" t="e">
        <f>AND(#REF!,"AAAAAHc/zCI=")</f>
        <v>#REF!</v>
      </c>
      <c r="AJ2" t="e">
        <f>AND(#REF!,"AAAAAHc/zCM=")</f>
        <v>#REF!</v>
      </c>
      <c r="AK2" t="e">
        <f>AND(#REF!,"AAAAAHc/zCQ=")</f>
        <v>#REF!</v>
      </c>
      <c r="AL2" t="e">
        <f>AND(#REF!,"AAAAAHc/zCU=")</f>
        <v>#REF!</v>
      </c>
      <c r="AM2" t="e">
        <f>AND(#REF!,"AAAAAHc/zCY=")</f>
        <v>#REF!</v>
      </c>
      <c r="AN2" t="e">
        <f>AND(#REF!,"AAAAAHc/zCc=")</f>
        <v>#REF!</v>
      </c>
      <c r="AO2" t="e">
        <f>AND(#REF!,"AAAAAHc/zCg=")</f>
        <v>#REF!</v>
      </c>
      <c r="AP2" t="e">
        <f>AND(#REF!,"AAAAAHc/zCk=")</f>
        <v>#REF!</v>
      </c>
      <c r="AQ2" t="e">
        <f>AND(#REF!,"AAAAAHc/zCo=")</f>
        <v>#REF!</v>
      </c>
      <c r="AR2" t="e">
        <f>AND(#REF!,"AAAAAHc/zCs=")</f>
        <v>#REF!</v>
      </c>
      <c r="AS2" t="e">
        <f>AND(#REF!,"AAAAAHc/zCw=")</f>
        <v>#REF!</v>
      </c>
      <c r="AT2" t="e">
        <f>AND(#REF!,"AAAAAHc/zC0=")</f>
        <v>#REF!</v>
      </c>
      <c r="AU2" t="e">
        <f>AND(#REF!,"AAAAAHc/zC4=")</f>
        <v>#REF!</v>
      </c>
      <c r="AV2" t="e">
        <f>AND(#REF!,"AAAAAHc/zC8=")</f>
        <v>#REF!</v>
      </c>
      <c r="AW2" t="e">
        <f>AND(#REF!,"AAAAAHc/zDA=")</f>
        <v>#REF!</v>
      </c>
      <c r="AX2" t="e">
        <f>AND(#REF!,"AAAAAHc/zDE=")</f>
        <v>#REF!</v>
      </c>
      <c r="AY2" t="e">
        <f>AND(#REF!,"AAAAAHc/zDI=")</f>
        <v>#REF!</v>
      </c>
      <c r="AZ2" t="e">
        <f>AND(#REF!,"AAAAAHc/zDM=")</f>
        <v>#REF!</v>
      </c>
      <c r="BA2" t="e">
        <f>IF(#REF!,"AAAAAHc/zDQ=",0)</f>
        <v>#REF!</v>
      </c>
      <c r="BB2" t="e">
        <f>AND(#REF!,"AAAAAHc/zDU=")</f>
        <v>#REF!</v>
      </c>
      <c r="BC2" t="e">
        <f>AND(#REF!,"AAAAAHc/zDY=")</f>
        <v>#REF!</v>
      </c>
      <c r="BD2" t="e">
        <f>AND(#REF!,"AAAAAHc/zDc=")</f>
        <v>#REF!</v>
      </c>
      <c r="BE2" t="e">
        <f>AND(#REF!,"AAAAAHc/zDg=")</f>
        <v>#REF!</v>
      </c>
      <c r="BF2" t="e">
        <f>AND(#REF!,"AAAAAHc/zDk=")</f>
        <v>#REF!</v>
      </c>
      <c r="BG2" t="e">
        <f>AND(#REF!,"AAAAAHc/zDo=")</f>
        <v>#REF!</v>
      </c>
      <c r="BH2" t="e">
        <f>AND(#REF!,"AAAAAHc/zDs=")</f>
        <v>#REF!</v>
      </c>
      <c r="BI2" t="e">
        <f>AND(#REF!,"AAAAAHc/zDw=")</f>
        <v>#REF!</v>
      </c>
      <c r="BJ2" t="e">
        <f>AND(#REF!,"AAAAAHc/zD0=")</f>
        <v>#REF!</v>
      </c>
      <c r="BK2" t="e">
        <f>AND(#REF!,"AAAAAHc/zD4=")</f>
        <v>#REF!</v>
      </c>
      <c r="BL2" t="e">
        <f>AND(#REF!,"AAAAAHc/zD8=")</f>
        <v>#REF!</v>
      </c>
      <c r="BM2" t="e">
        <f>AND(#REF!,"AAAAAHc/zEA=")</f>
        <v>#REF!</v>
      </c>
      <c r="BN2" t="e">
        <f>AND(#REF!,"AAAAAHc/zEE=")</f>
        <v>#REF!</v>
      </c>
      <c r="BO2" t="e">
        <f>AND(#REF!,"AAAAAHc/zEI=")</f>
        <v>#REF!</v>
      </c>
      <c r="BP2" t="e">
        <f>AND(#REF!,"AAAAAHc/zEM=")</f>
        <v>#REF!</v>
      </c>
      <c r="BQ2" t="e">
        <f>AND(#REF!,"AAAAAHc/zEQ=")</f>
        <v>#REF!</v>
      </c>
      <c r="BR2" t="e">
        <f>AND(#REF!,"AAAAAHc/zEU=")</f>
        <v>#REF!</v>
      </c>
      <c r="BS2" t="e">
        <f>AND(#REF!,"AAAAAHc/zEY=")</f>
        <v>#REF!</v>
      </c>
      <c r="BT2" t="e">
        <f>AND(#REF!,"AAAAAHc/zEc=")</f>
        <v>#REF!</v>
      </c>
      <c r="BU2" t="e">
        <f>AND(#REF!,"AAAAAHc/zEg=")</f>
        <v>#REF!</v>
      </c>
      <c r="BV2" t="e">
        <f>AND(#REF!,"AAAAAHc/zEk=")</f>
        <v>#REF!</v>
      </c>
      <c r="BW2" t="e">
        <f>IF(#REF!,"AAAAAHc/zEo=",0)</f>
        <v>#REF!</v>
      </c>
      <c r="BX2" t="e">
        <f>AND(#REF!,"AAAAAHc/zEs=")</f>
        <v>#REF!</v>
      </c>
      <c r="BY2" t="e">
        <f>AND(#REF!,"AAAAAHc/zEw=")</f>
        <v>#REF!</v>
      </c>
      <c r="BZ2" t="e">
        <f>AND(#REF!,"AAAAAHc/zE0=")</f>
        <v>#REF!</v>
      </c>
      <c r="CA2" t="e">
        <f>AND(#REF!,"AAAAAHc/zE4=")</f>
        <v>#REF!</v>
      </c>
      <c r="CB2" t="e">
        <f>AND(#REF!,"AAAAAHc/zE8=")</f>
        <v>#REF!</v>
      </c>
      <c r="CC2" t="e">
        <f>AND(#REF!,"AAAAAHc/zFA=")</f>
        <v>#REF!</v>
      </c>
      <c r="CD2" t="e">
        <f>AND(#REF!,"AAAAAHc/zFE=")</f>
        <v>#REF!</v>
      </c>
      <c r="CE2" t="e">
        <f>AND(#REF!,"AAAAAHc/zFI=")</f>
        <v>#REF!</v>
      </c>
      <c r="CF2" t="e">
        <f>AND(#REF!,"AAAAAHc/zFM=")</f>
        <v>#REF!</v>
      </c>
      <c r="CG2" t="e">
        <f>AND(#REF!,"AAAAAHc/zFQ=")</f>
        <v>#REF!</v>
      </c>
      <c r="CH2" t="e">
        <f>AND(#REF!,"AAAAAHc/zFU=")</f>
        <v>#REF!</v>
      </c>
      <c r="CI2" t="e">
        <f>AND(#REF!,"AAAAAHc/zFY=")</f>
        <v>#REF!</v>
      </c>
      <c r="CJ2" t="e">
        <f>AND(#REF!,"AAAAAHc/zFc=")</f>
        <v>#REF!</v>
      </c>
      <c r="CK2" t="e">
        <f>AND(#REF!,"AAAAAHc/zFg=")</f>
        <v>#REF!</v>
      </c>
      <c r="CL2" t="e">
        <f>AND(#REF!,"AAAAAHc/zFk=")</f>
        <v>#REF!</v>
      </c>
      <c r="CM2" t="e">
        <f>AND(#REF!,"AAAAAHc/zFo=")</f>
        <v>#REF!</v>
      </c>
      <c r="CN2" t="e">
        <f>AND(#REF!,"AAAAAHc/zFs=")</f>
        <v>#REF!</v>
      </c>
      <c r="CO2" t="e">
        <f>AND(#REF!,"AAAAAHc/zFw=")</f>
        <v>#REF!</v>
      </c>
      <c r="CP2" t="e">
        <f>AND(#REF!,"AAAAAHc/zF0=")</f>
        <v>#REF!</v>
      </c>
      <c r="CQ2" t="e">
        <f>AND(#REF!,"AAAAAHc/zF4=")</f>
        <v>#REF!</v>
      </c>
      <c r="CR2" t="e">
        <f>AND(#REF!,"AAAAAHc/zF8=")</f>
        <v>#REF!</v>
      </c>
      <c r="CS2" t="e">
        <f>IF(#REF!,"AAAAAHc/zGA=",0)</f>
        <v>#REF!</v>
      </c>
      <c r="CT2" t="e">
        <f>AND(#REF!,"AAAAAHc/zGE=")</f>
        <v>#REF!</v>
      </c>
      <c r="CU2" t="e">
        <f>AND(#REF!,"AAAAAHc/zGI=")</f>
        <v>#REF!</v>
      </c>
      <c r="CV2" t="e">
        <f>AND(#REF!,"AAAAAHc/zGM=")</f>
        <v>#REF!</v>
      </c>
      <c r="CW2" t="e">
        <f>AND(#REF!,"AAAAAHc/zGQ=")</f>
        <v>#REF!</v>
      </c>
      <c r="CX2" t="e">
        <f>AND(#REF!,"AAAAAHc/zGU=")</f>
        <v>#REF!</v>
      </c>
      <c r="CY2" t="e">
        <f>AND(#REF!,"AAAAAHc/zGY=")</f>
        <v>#REF!</v>
      </c>
      <c r="CZ2" t="e">
        <f>AND(#REF!,"AAAAAHc/zGc=")</f>
        <v>#REF!</v>
      </c>
      <c r="DA2" t="e">
        <f>AND(#REF!,"AAAAAHc/zGg=")</f>
        <v>#REF!</v>
      </c>
      <c r="DB2" t="e">
        <f>AND(#REF!,"AAAAAHc/zGk=")</f>
        <v>#REF!</v>
      </c>
      <c r="DC2" t="e">
        <f>AND(#REF!,"AAAAAHc/zGo=")</f>
        <v>#REF!</v>
      </c>
      <c r="DD2" t="e">
        <f>AND(#REF!,"AAAAAHc/zGs=")</f>
        <v>#REF!</v>
      </c>
      <c r="DE2" t="e">
        <f>AND(#REF!,"AAAAAHc/zGw=")</f>
        <v>#REF!</v>
      </c>
      <c r="DF2" t="e">
        <f>AND(#REF!,"AAAAAHc/zG0=")</f>
        <v>#REF!</v>
      </c>
      <c r="DG2" t="e">
        <f>AND(#REF!,"AAAAAHc/zG4=")</f>
        <v>#REF!</v>
      </c>
      <c r="DH2" t="e">
        <f>AND(#REF!,"AAAAAHc/zG8=")</f>
        <v>#REF!</v>
      </c>
      <c r="DI2" t="e">
        <f>AND(#REF!,"AAAAAHc/zHA=")</f>
        <v>#REF!</v>
      </c>
      <c r="DJ2" t="e">
        <f>AND(#REF!,"AAAAAHc/zHE=")</f>
        <v>#REF!</v>
      </c>
      <c r="DK2" t="e">
        <f>AND(#REF!,"AAAAAHc/zHI=")</f>
        <v>#REF!</v>
      </c>
      <c r="DL2" t="e">
        <f>AND(#REF!,"AAAAAHc/zHM=")</f>
        <v>#REF!</v>
      </c>
      <c r="DM2" t="e">
        <f>AND(#REF!,"AAAAAHc/zHQ=")</f>
        <v>#REF!</v>
      </c>
      <c r="DN2" t="e">
        <f>AND(#REF!,"AAAAAHc/zHU=")</f>
        <v>#REF!</v>
      </c>
      <c r="DO2" t="e">
        <f>IF(#REF!,"AAAAAHc/zHY=",0)</f>
        <v>#REF!</v>
      </c>
      <c r="DP2" t="e">
        <f>AND(#REF!,"AAAAAHc/zHc=")</f>
        <v>#REF!</v>
      </c>
      <c r="DQ2" t="e">
        <f>AND(#REF!,"AAAAAHc/zHg=")</f>
        <v>#REF!</v>
      </c>
      <c r="DR2" t="e">
        <f>AND(#REF!,"AAAAAHc/zHk=")</f>
        <v>#REF!</v>
      </c>
      <c r="DS2" t="e">
        <f>AND(#REF!,"AAAAAHc/zHo=")</f>
        <v>#REF!</v>
      </c>
      <c r="DT2" t="e">
        <f>AND(#REF!,"AAAAAHc/zHs=")</f>
        <v>#REF!</v>
      </c>
      <c r="DU2" t="e">
        <f>AND(#REF!,"AAAAAHc/zHw=")</f>
        <v>#REF!</v>
      </c>
      <c r="DV2" t="e">
        <f>AND(#REF!,"AAAAAHc/zH0=")</f>
        <v>#REF!</v>
      </c>
      <c r="DW2" t="e">
        <f>AND(#REF!,"AAAAAHc/zH4=")</f>
        <v>#REF!</v>
      </c>
      <c r="DX2" t="e">
        <f>AND(#REF!,"AAAAAHc/zH8=")</f>
        <v>#REF!</v>
      </c>
      <c r="DY2" t="e">
        <f>AND(#REF!,"AAAAAHc/zIA=")</f>
        <v>#REF!</v>
      </c>
      <c r="DZ2" t="e">
        <f>AND(#REF!,"AAAAAHc/zIE=")</f>
        <v>#REF!</v>
      </c>
      <c r="EA2" t="e">
        <f>AND(#REF!,"AAAAAHc/zII=")</f>
        <v>#REF!</v>
      </c>
      <c r="EB2" t="e">
        <f>AND(#REF!,"AAAAAHc/zIM=")</f>
        <v>#REF!</v>
      </c>
      <c r="EC2" t="e">
        <f>AND(#REF!,"AAAAAHc/zIQ=")</f>
        <v>#REF!</v>
      </c>
      <c r="ED2" t="e">
        <f>AND(#REF!,"AAAAAHc/zIU=")</f>
        <v>#REF!</v>
      </c>
      <c r="EE2" t="e">
        <f>AND(#REF!,"AAAAAHc/zIY=")</f>
        <v>#REF!</v>
      </c>
      <c r="EF2" t="e">
        <f>AND(#REF!,"AAAAAHc/zIc=")</f>
        <v>#REF!</v>
      </c>
      <c r="EG2" t="e">
        <f>AND(#REF!,"AAAAAHc/zIg=")</f>
        <v>#REF!</v>
      </c>
      <c r="EH2" t="e">
        <f>AND(#REF!,"AAAAAHc/zIk=")</f>
        <v>#REF!</v>
      </c>
      <c r="EI2" t="e">
        <f>AND(#REF!,"AAAAAHc/zIo=")</f>
        <v>#REF!</v>
      </c>
      <c r="EJ2" t="e">
        <f>AND(#REF!,"AAAAAHc/zIs=")</f>
        <v>#REF!</v>
      </c>
      <c r="EK2" t="e">
        <f>IF(#REF!,"AAAAAHc/zIw=",0)</f>
        <v>#REF!</v>
      </c>
      <c r="EL2" t="e">
        <f>AND(#REF!,"AAAAAHc/zI0=")</f>
        <v>#REF!</v>
      </c>
      <c r="EM2" t="e">
        <f>AND(#REF!,"AAAAAHc/zI4=")</f>
        <v>#REF!</v>
      </c>
      <c r="EN2" t="e">
        <f>AND(#REF!,"AAAAAHc/zI8=")</f>
        <v>#REF!</v>
      </c>
      <c r="EO2" t="e">
        <f>AND(#REF!,"AAAAAHc/zJA=")</f>
        <v>#REF!</v>
      </c>
      <c r="EP2" t="e">
        <f>AND(#REF!,"AAAAAHc/zJE=")</f>
        <v>#REF!</v>
      </c>
      <c r="EQ2" t="e">
        <f>AND(#REF!,"AAAAAHc/zJI=")</f>
        <v>#REF!</v>
      </c>
      <c r="ER2" t="e">
        <f>AND(#REF!,"AAAAAHc/zJM=")</f>
        <v>#REF!</v>
      </c>
      <c r="ES2" t="e">
        <f>AND(#REF!,"AAAAAHc/zJQ=")</f>
        <v>#REF!</v>
      </c>
      <c r="ET2" t="e">
        <f>AND(#REF!,"AAAAAHc/zJU=")</f>
        <v>#REF!</v>
      </c>
      <c r="EU2" t="e">
        <f>AND(#REF!,"AAAAAHc/zJY=")</f>
        <v>#REF!</v>
      </c>
      <c r="EV2" t="e">
        <f>AND(#REF!,"AAAAAHc/zJc=")</f>
        <v>#REF!</v>
      </c>
      <c r="EW2" t="e">
        <f>AND(#REF!,"AAAAAHc/zJg=")</f>
        <v>#REF!</v>
      </c>
      <c r="EX2" t="e">
        <f>AND(#REF!,"AAAAAHc/zJk=")</f>
        <v>#REF!</v>
      </c>
      <c r="EY2" t="e">
        <f>AND(#REF!,"AAAAAHc/zJo=")</f>
        <v>#REF!</v>
      </c>
      <c r="EZ2" t="e">
        <f>AND(#REF!,"AAAAAHc/zJs=")</f>
        <v>#REF!</v>
      </c>
      <c r="FA2" t="e">
        <f>AND(#REF!,"AAAAAHc/zJw=")</f>
        <v>#REF!</v>
      </c>
      <c r="FB2" t="e">
        <f>AND(#REF!,"AAAAAHc/zJ0=")</f>
        <v>#REF!</v>
      </c>
      <c r="FC2" t="e">
        <f>AND(#REF!,"AAAAAHc/zJ4=")</f>
        <v>#REF!</v>
      </c>
      <c r="FD2" t="e">
        <f>AND(#REF!,"AAAAAHc/zJ8=")</f>
        <v>#REF!</v>
      </c>
      <c r="FE2" t="e">
        <f>AND(#REF!,"AAAAAHc/zKA=")</f>
        <v>#REF!</v>
      </c>
      <c r="FF2" t="e">
        <f>AND(#REF!,"AAAAAHc/zKE=")</f>
        <v>#REF!</v>
      </c>
      <c r="FG2" t="e">
        <f>IF(#REF!,"AAAAAHc/zKI=",0)</f>
        <v>#REF!</v>
      </c>
      <c r="FH2" t="e">
        <f>AND(#REF!,"AAAAAHc/zKM=")</f>
        <v>#REF!</v>
      </c>
      <c r="FI2" t="e">
        <f>AND(#REF!,"AAAAAHc/zKQ=")</f>
        <v>#REF!</v>
      </c>
      <c r="FJ2" t="e">
        <f>AND(#REF!,"AAAAAHc/zKU=")</f>
        <v>#REF!</v>
      </c>
      <c r="FK2" t="e">
        <f>AND(#REF!,"AAAAAHc/zKY=")</f>
        <v>#REF!</v>
      </c>
      <c r="FL2" t="e">
        <f>AND(#REF!,"AAAAAHc/zKc=")</f>
        <v>#REF!</v>
      </c>
      <c r="FM2" t="e">
        <f>AND(#REF!,"AAAAAHc/zKg=")</f>
        <v>#REF!</v>
      </c>
      <c r="FN2" t="e">
        <f>AND(#REF!,"AAAAAHc/zKk=")</f>
        <v>#REF!</v>
      </c>
      <c r="FO2" t="e">
        <f>AND(#REF!,"AAAAAHc/zKo=")</f>
        <v>#REF!</v>
      </c>
      <c r="FP2" t="e">
        <f>AND(#REF!,"AAAAAHc/zKs=")</f>
        <v>#REF!</v>
      </c>
      <c r="FQ2" t="e">
        <f>AND(#REF!,"AAAAAHc/zKw=")</f>
        <v>#REF!</v>
      </c>
      <c r="FR2" t="e">
        <f>AND(#REF!,"AAAAAHc/zK0=")</f>
        <v>#REF!</v>
      </c>
      <c r="FS2" t="e">
        <f>AND(#REF!,"AAAAAHc/zK4=")</f>
        <v>#REF!</v>
      </c>
      <c r="FT2" t="e">
        <f>AND(#REF!,"AAAAAHc/zK8=")</f>
        <v>#REF!</v>
      </c>
      <c r="FU2" t="e">
        <f>AND(#REF!,"AAAAAHc/zLA=")</f>
        <v>#REF!</v>
      </c>
      <c r="FV2" t="e">
        <f>AND(#REF!,"AAAAAHc/zLE=")</f>
        <v>#REF!</v>
      </c>
      <c r="FW2" t="e">
        <f>AND(#REF!,"AAAAAHc/zLI=")</f>
        <v>#REF!</v>
      </c>
      <c r="FX2" t="e">
        <f>AND(#REF!,"AAAAAHc/zLM=")</f>
        <v>#REF!</v>
      </c>
      <c r="FY2" t="e">
        <f>AND(#REF!,"AAAAAHc/zLQ=")</f>
        <v>#REF!</v>
      </c>
      <c r="FZ2" t="e">
        <f>AND(#REF!,"AAAAAHc/zLU=")</f>
        <v>#REF!</v>
      </c>
      <c r="GA2" t="e">
        <f>AND(#REF!,"AAAAAHc/zLY=")</f>
        <v>#REF!</v>
      </c>
      <c r="GB2" t="e">
        <f>AND(#REF!,"AAAAAHc/zLc=")</f>
        <v>#REF!</v>
      </c>
      <c r="GC2" t="e">
        <f>IF(#REF!,"AAAAAHc/zLg=",0)</f>
        <v>#REF!</v>
      </c>
      <c r="GD2" t="e">
        <f>AND(#REF!,"AAAAAHc/zLk=")</f>
        <v>#REF!</v>
      </c>
      <c r="GE2" t="e">
        <f>AND(#REF!,"AAAAAHc/zLo=")</f>
        <v>#REF!</v>
      </c>
      <c r="GF2" t="e">
        <f>AND(#REF!,"AAAAAHc/zLs=")</f>
        <v>#REF!</v>
      </c>
      <c r="GG2" t="e">
        <f>AND(#REF!,"AAAAAHc/zLw=")</f>
        <v>#REF!</v>
      </c>
      <c r="GH2" t="e">
        <f>AND(#REF!,"AAAAAHc/zL0=")</f>
        <v>#REF!</v>
      </c>
      <c r="GI2" t="e">
        <f>AND(#REF!,"AAAAAHc/zL4=")</f>
        <v>#REF!</v>
      </c>
      <c r="GJ2" t="e">
        <f>AND(#REF!,"AAAAAHc/zL8=")</f>
        <v>#REF!</v>
      </c>
      <c r="GK2" t="e">
        <f>AND(#REF!,"AAAAAHc/zMA=")</f>
        <v>#REF!</v>
      </c>
      <c r="GL2" t="e">
        <f>AND(#REF!,"AAAAAHc/zME=")</f>
        <v>#REF!</v>
      </c>
      <c r="GM2" t="e">
        <f>AND(#REF!,"AAAAAHc/zMI=")</f>
        <v>#REF!</v>
      </c>
      <c r="GN2" t="e">
        <f>AND(#REF!,"AAAAAHc/zMM=")</f>
        <v>#REF!</v>
      </c>
      <c r="GO2" t="e">
        <f>AND(#REF!,"AAAAAHc/zMQ=")</f>
        <v>#REF!</v>
      </c>
      <c r="GP2" t="e">
        <f>AND(#REF!,"AAAAAHc/zMU=")</f>
        <v>#REF!</v>
      </c>
      <c r="GQ2" t="e">
        <f>AND(#REF!,"AAAAAHc/zMY=")</f>
        <v>#REF!</v>
      </c>
      <c r="GR2" t="e">
        <f>AND(#REF!,"AAAAAHc/zMc=")</f>
        <v>#REF!</v>
      </c>
      <c r="GS2" t="e">
        <f>AND(#REF!,"AAAAAHc/zMg=")</f>
        <v>#REF!</v>
      </c>
      <c r="GT2" t="e">
        <f>AND(#REF!,"AAAAAHc/zMk=")</f>
        <v>#REF!</v>
      </c>
      <c r="GU2" t="e">
        <f>AND(#REF!,"AAAAAHc/zMo=")</f>
        <v>#REF!</v>
      </c>
      <c r="GV2" t="e">
        <f>AND(#REF!,"AAAAAHc/zMs=")</f>
        <v>#REF!</v>
      </c>
      <c r="GW2" t="e">
        <f>AND(#REF!,"AAAAAHc/zMw=")</f>
        <v>#REF!</v>
      </c>
      <c r="GX2" t="e">
        <f>AND(#REF!,"AAAAAHc/zM0=")</f>
        <v>#REF!</v>
      </c>
      <c r="GY2" t="e">
        <f>IF(#REF!,"AAAAAHc/zM4=",0)</f>
        <v>#REF!</v>
      </c>
      <c r="GZ2" t="e">
        <f>AND(#REF!,"AAAAAHc/zM8=")</f>
        <v>#REF!</v>
      </c>
      <c r="HA2" t="e">
        <f>AND(#REF!,"AAAAAHc/zNA=")</f>
        <v>#REF!</v>
      </c>
      <c r="HB2" t="e">
        <f>AND(#REF!,"AAAAAHc/zNE=")</f>
        <v>#REF!</v>
      </c>
      <c r="HC2" t="e">
        <f>AND(#REF!,"AAAAAHc/zNI=")</f>
        <v>#REF!</v>
      </c>
      <c r="HD2" t="e">
        <f>AND(#REF!,"AAAAAHc/zNM=")</f>
        <v>#REF!</v>
      </c>
      <c r="HE2" t="e">
        <f>AND(#REF!,"AAAAAHc/zNQ=")</f>
        <v>#REF!</v>
      </c>
      <c r="HF2" t="e">
        <f>AND(#REF!,"AAAAAHc/zNU=")</f>
        <v>#REF!</v>
      </c>
      <c r="HG2" t="e">
        <f>AND(#REF!,"AAAAAHc/zNY=")</f>
        <v>#REF!</v>
      </c>
      <c r="HH2" t="e">
        <f>AND(#REF!,"AAAAAHc/zNc=")</f>
        <v>#REF!</v>
      </c>
      <c r="HI2" t="e">
        <f>AND(#REF!,"AAAAAHc/zNg=")</f>
        <v>#REF!</v>
      </c>
      <c r="HJ2" t="e">
        <f>AND(#REF!,"AAAAAHc/zNk=")</f>
        <v>#REF!</v>
      </c>
      <c r="HK2" t="e">
        <f>AND(#REF!,"AAAAAHc/zNo=")</f>
        <v>#REF!</v>
      </c>
      <c r="HL2" t="e">
        <f>AND(#REF!,"AAAAAHc/zNs=")</f>
        <v>#REF!</v>
      </c>
      <c r="HM2" t="e">
        <f>AND(#REF!,"AAAAAHc/zNw=")</f>
        <v>#REF!</v>
      </c>
      <c r="HN2" t="e">
        <f>AND(#REF!,"AAAAAHc/zN0=")</f>
        <v>#REF!</v>
      </c>
      <c r="HO2" t="e">
        <f>AND(#REF!,"AAAAAHc/zN4=")</f>
        <v>#REF!</v>
      </c>
      <c r="HP2" t="e">
        <f>AND(#REF!,"AAAAAHc/zN8=")</f>
        <v>#REF!</v>
      </c>
      <c r="HQ2" t="e">
        <f>AND(#REF!,"AAAAAHc/zOA=")</f>
        <v>#REF!</v>
      </c>
      <c r="HR2" t="e">
        <f>AND(#REF!,"AAAAAHc/zOE=")</f>
        <v>#REF!</v>
      </c>
      <c r="HS2" t="e">
        <f>AND(#REF!,"AAAAAHc/zOI=")</f>
        <v>#REF!</v>
      </c>
      <c r="HT2" t="e">
        <f>AND(#REF!,"AAAAAHc/zOM=")</f>
        <v>#REF!</v>
      </c>
      <c r="HU2" t="e">
        <f>IF(#REF!,"AAAAAHc/zOQ=",0)</f>
        <v>#REF!</v>
      </c>
      <c r="HV2" t="e">
        <f>AND(#REF!,"AAAAAHc/zOU=")</f>
        <v>#REF!</v>
      </c>
      <c r="HW2" t="e">
        <f>AND(#REF!,"AAAAAHc/zOY=")</f>
        <v>#REF!</v>
      </c>
      <c r="HX2" t="e">
        <f>AND(#REF!,"AAAAAHc/zOc=")</f>
        <v>#REF!</v>
      </c>
      <c r="HY2" t="e">
        <f>AND(#REF!,"AAAAAHc/zOg=")</f>
        <v>#REF!</v>
      </c>
      <c r="HZ2" t="e">
        <f>AND(#REF!,"AAAAAHc/zOk=")</f>
        <v>#REF!</v>
      </c>
      <c r="IA2" t="e">
        <f>AND(#REF!,"AAAAAHc/zOo=")</f>
        <v>#REF!</v>
      </c>
      <c r="IB2" t="e">
        <f>AND(#REF!,"AAAAAHc/zOs=")</f>
        <v>#REF!</v>
      </c>
      <c r="IC2" t="e">
        <f>AND(#REF!,"AAAAAHc/zOw=")</f>
        <v>#REF!</v>
      </c>
      <c r="ID2" t="e">
        <f>AND(#REF!,"AAAAAHc/zO0=")</f>
        <v>#REF!</v>
      </c>
      <c r="IE2" t="e">
        <f>AND(#REF!,"AAAAAHc/zO4=")</f>
        <v>#REF!</v>
      </c>
      <c r="IF2" t="e">
        <f>AND(#REF!,"AAAAAHc/zO8=")</f>
        <v>#REF!</v>
      </c>
      <c r="IG2" t="e">
        <f>AND(#REF!,"AAAAAHc/zPA=")</f>
        <v>#REF!</v>
      </c>
      <c r="IH2" t="e">
        <f>AND(#REF!,"AAAAAHc/zPE=")</f>
        <v>#REF!</v>
      </c>
      <c r="II2" t="e">
        <f>AND(#REF!,"AAAAAHc/zPI=")</f>
        <v>#REF!</v>
      </c>
      <c r="IJ2" t="e">
        <f>AND(#REF!,"AAAAAHc/zPM=")</f>
        <v>#REF!</v>
      </c>
      <c r="IK2" t="e">
        <f>AND(#REF!,"AAAAAHc/zPQ=")</f>
        <v>#REF!</v>
      </c>
      <c r="IL2" t="e">
        <f>AND(#REF!,"AAAAAHc/zPU=")</f>
        <v>#REF!</v>
      </c>
      <c r="IM2" t="e">
        <f>AND(#REF!,"AAAAAHc/zPY=")</f>
        <v>#REF!</v>
      </c>
      <c r="IN2" t="e">
        <f>AND(#REF!,"AAAAAHc/zPc=")</f>
        <v>#REF!</v>
      </c>
      <c r="IO2" t="e">
        <f>AND(#REF!,"AAAAAHc/zPg=")</f>
        <v>#REF!</v>
      </c>
      <c r="IP2" t="e">
        <f>AND(#REF!,"AAAAAHc/zPk=")</f>
        <v>#REF!</v>
      </c>
      <c r="IQ2" t="e">
        <f>IF(#REF!,"AAAAAHc/zPo=",0)</f>
        <v>#REF!</v>
      </c>
      <c r="IR2" t="e">
        <f>AND(#REF!,"AAAAAHc/zPs=")</f>
        <v>#REF!</v>
      </c>
      <c r="IS2" t="e">
        <f>AND(#REF!,"AAAAAHc/zPw=")</f>
        <v>#REF!</v>
      </c>
      <c r="IT2" t="e">
        <f>AND(#REF!,"AAAAAHc/zP0=")</f>
        <v>#REF!</v>
      </c>
      <c r="IU2" t="e">
        <f>AND(#REF!,"AAAAAHc/zP4=")</f>
        <v>#REF!</v>
      </c>
      <c r="IV2" t="e">
        <f>AND(#REF!,"AAAAAHc/zP8=")</f>
        <v>#REF!</v>
      </c>
    </row>
    <row r="3" spans="1:256">
      <c r="A3" t="e">
        <f>AND(#REF!,"AAAAAF7+vgA=")</f>
        <v>#REF!</v>
      </c>
      <c r="B3" t="e">
        <f>AND(#REF!,"AAAAAF7+vgE=")</f>
        <v>#REF!</v>
      </c>
      <c r="C3" t="e">
        <f>AND(#REF!,"AAAAAF7+vgI=")</f>
        <v>#REF!</v>
      </c>
      <c r="D3" t="e">
        <f>AND(#REF!,"AAAAAF7+vgM=")</f>
        <v>#REF!</v>
      </c>
      <c r="E3" t="e">
        <f>AND(#REF!,"AAAAAF7+vgQ=")</f>
        <v>#REF!</v>
      </c>
      <c r="F3" t="e">
        <f>AND(#REF!,"AAAAAF7+vgU=")</f>
        <v>#REF!</v>
      </c>
      <c r="G3" t="e">
        <f>AND(#REF!,"AAAAAF7+vgY=")</f>
        <v>#REF!</v>
      </c>
      <c r="H3" t="e">
        <f>AND(#REF!,"AAAAAF7+vgc=")</f>
        <v>#REF!</v>
      </c>
      <c r="I3" t="e">
        <f>AND(#REF!,"AAAAAF7+vgg=")</f>
        <v>#REF!</v>
      </c>
      <c r="J3" t="e">
        <f>AND(#REF!,"AAAAAF7+vgk=")</f>
        <v>#REF!</v>
      </c>
      <c r="K3" t="e">
        <f>AND(#REF!,"AAAAAF7+vgo=")</f>
        <v>#REF!</v>
      </c>
      <c r="L3" t="e">
        <f>AND(#REF!,"AAAAAF7+vgs=")</f>
        <v>#REF!</v>
      </c>
      <c r="M3" t="e">
        <f>AND(#REF!,"AAAAAF7+vgw=")</f>
        <v>#REF!</v>
      </c>
      <c r="N3" t="e">
        <f>AND(#REF!,"AAAAAF7+vg0=")</f>
        <v>#REF!</v>
      </c>
      <c r="O3" t="e">
        <f>AND(#REF!,"AAAAAF7+vg4=")</f>
        <v>#REF!</v>
      </c>
      <c r="P3" t="e">
        <f>AND(#REF!,"AAAAAF7+vg8=")</f>
        <v>#REF!</v>
      </c>
      <c r="Q3" t="e">
        <f>IF(#REF!,"AAAAAF7+vhA=",0)</f>
        <v>#REF!</v>
      </c>
      <c r="R3" t="e">
        <f>AND(#REF!,"AAAAAF7+vhE=")</f>
        <v>#REF!</v>
      </c>
      <c r="S3" t="e">
        <f>AND(#REF!,"AAAAAF7+vhI=")</f>
        <v>#REF!</v>
      </c>
      <c r="T3" t="e">
        <f>AND(#REF!,"AAAAAF7+vhM=")</f>
        <v>#REF!</v>
      </c>
      <c r="U3" t="e">
        <f>AND(#REF!,"AAAAAF7+vhQ=")</f>
        <v>#REF!</v>
      </c>
      <c r="V3" t="e">
        <f>AND(#REF!,"AAAAAF7+vhU=")</f>
        <v>#REF!</v>
      </c>
      <c r="W3" t="e">
        <f>AND(#REF!,"AAAAAF7+vhY=")</f>
        <v>#REF!</v>
      </c>
      <c r="X3" t="e">
        <f>AND(#REF!,"AAAAAF7+vhc=")</f>
        <v>#REF!</v>
      </c>
      <c r="Y3" t="e">
        <f>AND(#REF!,"AAAAAF7+vhg=")</f>
        <v>#REF!</v>
      </c>
      <c r="Z3" t="e">
        <f>AND(#REF!,"AAAAAF7+vhk=")</f>
        <v>#REF!</v>
      </c>
      <c r="AA3" t="e">
        <f>AND(#REF!,"AAAAAF7+vho=")</f>
        <v>#REF!</v>
      </c>
      <c r="AB3" t="e">
        <f>AND(#REF!,"AAAAAF7+vhs=")</f>
        <v>#REF!</v>
      </c>
      <c r="AC3" t="e">
        <f>AND(#REF!,"AAAAAF7+vhw=")</f>
        <v>#REF!</v>
      </c>
      <c r="AD3" t="e">
        <f>AND(#REF!,"AAAAAF7+vh0=")</f>
        <v>#REF!</v>
      </c>
      <c r="AE3" t="e">
        <f>AND(#REF!,"AAAAAF7+vh4=")</f>
        <v>#REF!</v>
      </c>
      <c r="AF3" t="e">
        <f>AND(#REF!,"AAAAAF7+vh8=")</f>
        <v>#REF!</v>
      </c>
      <c r="AG3" t="e">
        <f>AND(#REF!,"AAAAAF7+viA=")</f>
        <v>#REF!</v>
      </c>
      <c r="AH3" t="e">
        <f>AND(#REF!,"AAAAAF7+viE=")</f>
        <v>#REF!</v>
      </c>
      <c r="AI3" t="e">
        <f>AND(#REF!,"AAAAAF7+viI=")</f>
        <v>#REF!</v>
      </c>
      <c r="AJ3" t="e">
        <f>AND(#REF!,"AAAAAF7+viM=")</f>
        <v>#REF!</v>
      </c>
      <c r="AK3" t="e">
        <f>AND(#REF!,"AAAAAF7+viQ=")</f>
        <v>#REF!</v>
      </c>
      <c r="AL3" t="e">
        <f>AND(#REF!,"AAAAAF7+viU=")</f>
        <v>#REF!</v>
      </c>
      <c r="AM3" t="e">
        <f>IF(#REF!,"AAAAAF7+viY=",0)</f>
        <v>#REF!</v>
      </c>
      <c r="AN3" t="e">
        <f>AND(#REF!,"AAAAAF7+vic=")</f>
        <v>#REF!</v>
      </c>
      <c r="AO3" t="e">
        <f>AND(#REF!,"AAAAAF7+vig=")</f>
        <v>#REF!</v>
      </c>
      <c r="AP3" t="e">
        <f>AND(#REF!,"AAAAAF7+vik=")</f>
        <v>#REF!</v>
      </c>
      <c r="AQ3" t="e">
        <f>AND(#REF!,"AAAAAF7+vio=")</f>
        <v>#REF!</v>
      </c>
      <c r="AR3" t="e">
        <f>AND(#REF!,"AAAAAF7+vis=")</f>
        <v>#REF!</v>
      </c>
      <c r="AS3" t="e">
        <f>AND(#REF!,"AAAAAF7+viw=")</f>
        <v>#REF!</v>
      </c>
      <c r="AT3" t="e">
        <f>AND(#REF!,"AAAAAF7+vi0=")</f>
        <v>#REF!</v>
      </c>
      <c r="AU3" t="e">
        <f>AND(#REF!,"AAAAAF7+vi4=")</f>
        <v>#REF!</v>
      </c>
      <c r="AV3" t="e">
        <f>AND(#REF!,"AAAAAF7+vi8=")</f>
        <v>#REF!</v>
      </c>
      <c r="AW3" t="e">
        <f>AND(#REF!,"AAAAAF7+vjA=")</f>
        <v>#REF!</v>
      </c>
      <c r="AX3" t="e">
        <f>AND(#REF!,"AAAAAF7+vjE=")</f>
        <v>#REF!</v>
      </c>
      <c r="AY3" t="e">
        <f>AND(#REF!,"AAAAAF7+vjI=")</f>
        <v>#REF!</v>
      </c>
      <c r="AZ3" t="e">
        <f>AND(#REF!,"AAAAAF7+vjM=")</f>
        <v>#REF!</v>
      </c>
      <c r="BA3" t="e">
        <f>AND(#REF!,"AAAAAF7+vjQ=")</f>
        <v>#REF!</v>
      </c>
      <c r="BB3" t="e">
        <f>AND(#REF!,"AAAAAF7+vjU=")</f>
        <v>#REF!</v>
      </c>
      <c r="BC3" t="e">
        <f>AND(#REF!,"AAAAAF7+vjY=")</f>
        <v>#REF!</v>
      </c>
      <c r="BD3" t="e">
        <f>AND(#REF!,"AAAAAF7+vjc=")</f>
        <v>#REF!</v>
      </c>
      <c r="BE3" t="e">
        <f>AND(#REF!,"AAAAAF7+vjg=")</f>
        <v>#REF!</v>
      </c>
      <c r="BF3" t="e">
        <f>AND(#REF!,"AAAAAF7+vjk=")</f>
        <v>#REF!</v>
      </c>
      <c r="BG3" t="e">
        <f>AND(#REF!,"AAAAAF7+vjo=")</f>
        <v>#REF!</v>
      </c>
      <c r="BH3" t="e">
        <f>AND(#REF!,"AAAAAF7+vjs=")</f>
        <v>#REF!</v>
      </c>
      <c r="BI3" t="e">
        <f>IF(#REF!,"AAAAAF7+vjw=",0)</f>
        <v>#REF!</v>
      </c>
      <c r="BJ3" t="e">
        <f>AND(#REF!,"AAAAAF7+vj0=")</f>
        <v>#REF!</v>
      </c>
      <c r="BK3" t="e">
        <f>AND(#REF!,"AAAAAF7+vj4=")</f>
        <v>#REF!</v>
      </c>
      <c r="BL3" t="e">
        <f>AND(#REF!,"AAAAAF7+vj8=")</f>
        <v>#REF!</v>
      </c>
      <c r="BM3" t="e">
        <f>AND(#REF!,"AAAAAF7+vkA=")</f>
        <v>#REF!</v>
      </c>
      <c r="BN3" t="e">
        <f>AND(#REF!,"AAAAAF7+vkE=")</f>
        <v>#REF!</v>
      </c>
      <c r="BO3" t="e">
        <f>AND(#REF!,"AAAAAF7+vkI=")</f>
        <v>#REF!</v>
      </c>
      <c r="BP3" t="e">
        <f>AND(#REF!,"AAAAAF7+vkM=")</f>
        <v>#REF!</v>
      </c>
      <c r="BQ3" t="e">
        <f>AND(#REF!,"AAAAAF7+vkQ=")</f>
        <v>#REF!</v>
      </c>
      <c r="BR3" t="e">
        <f>AND(#REF!,"AAAAAF7+vkU=")</f>
        <v>#REF!</v>
      </c>
      <c r="BS3" t="e">
        <f>AND(#REF!,"AAAAAF7+vkY=")</f>
        <v>#REF!</v>
      </c>
      <c r="BT3" t="e">
        <f>AND(#REF!,"AAAAAF7+vkc=")</f>
        <v>#REF!</v>
      </c>
      <c r="BU3" t="e">
        <f>AND(#REF!,"AAAAAF7+vkg=")</f>
        <v>#REF!</v>
      </c>
      <c r="BV3" t="e">
        <f>AND(#REF!,"AAAAAF7+vkk=")</f>
        <v>#REF!</v>
      </c>
      <c r="BW3" t="e">
        <f>AND(#REF!,"AAAAAF7+vko=")</f>
        <v>#REF!</v>
      </c>
      <c r="BX3" t="e">
        <f>AND(#REF!,"AAAAAF7+vks=")</f>
        <v>#REF!</v>
      </c>
      <c r="BY3" t="e">
        <f>AND(#REF!,"AAAAAF7+vkw=")</f>
        <v>#REF!</v>
      </c>
      <c r="BZ3" t="e">
        <f>AND(#REF!,"AAAAAF7+vk0=")</f>
        <v>#REF!</v>
      </c>
      <c r="CA3" t="e">
        <f>AND(#REF!,"AAAAAF7+vk4=")</f>
        <v>#REF!</v>
      </c>
      <c r="CB3" t="e">
        <f>AND(#REF!,"AAAAAF7+vk8=")</f>
        <v>#REF!</v>
      </c>
      <c r="CC3" t="e">
        <f>AND(#REF!,"AAAAAF7+vlA=")</f>
        <v>#REF!</v>
      </c>
      <c r="CD3" t="e">
        <f>AND(#REF!,"AAAAAF7+vlE=")</f>
        <v>#REF!</v>
      </c>
      <c r="CE3" t="e">
        <f>IF(#REF!,"AAAAAF7+vlI=",0)</f>
        <v>#REF!</v>
      </c>
      <c r="CF3" t="e">
        <f>AND(#REF!,"AAAAAF7+vlM=")</f>
        <v>#REF!</v>
      </c>
      <c r="CG3" t="e">
        <f>AND(#REF!,"AAAAAF7+vlQ=")</f>
        <v>#REF!</v>
      </c>
      <c r="CH3" t="e">
        <f>AND(#REF!,"AAAAAF7+vlU=")</f>
        <v>#REF!</v>
      </c>
      <c r="CI3" t="e">
        <f>AND(#REF!,"AAAAAF7+vlY=")</f>
        <v>#REF!</v>
      </c>
      <c r="CJ3" t="e">
        <f>AND(#REF!,"AAAAAF7+vlc=")</f>
        <v>#REF!</v>
      </c>
      <c r="CK3" t="e">
        <f>AND(#REF!,"AAAAAF7+vlg=")</f>
        <v>#REF!</v>
      </c>
      <c r="CL3" t="e">
        <f>AND(#REF!,"AAAAAF7+vlk=")</f>
        <v>#REF!</v>
      </c>
      <c r="CM3" t="e">
        <f>AND(#REF!,"AAAAAF7+vlo=")</f>
        <v>#REF!</v>
      </c>
      <c r="CN3" t="e">
        <f>AND(#REF!,"AAAAAF7+vls=")</f>
        <v>#REF!</v>
      </c>
      <c r="CO3" t="e">
        <f>AND(#REF!,"AAAAAF7+vlw=")</f>
        <v>#REF!</v>
      </c>
      <c r="CP3" t="e">
        <f>AND(#REF!,"AAAAAF7+vl0=")</f>
        <v>#REF!</v>
      </c>
      <c r="CQ3" t="e">
        <f>AND(#REF!,"AAAAAF7+vl4=")</f>
        <v>#REF!</v>
      </c>
      <c r="CR3" t="e">
        <f>AND(#REF!,"AAAAAF7+vl8=")</f>
        <v>#REF!</v>
      </c>
      <c r="CS3" t="e">
        <f>AND(#REF!,"AAAAAF7+vmA=")</f>
        <v>#REF!</v>
      </c>
      <c r="CT3" t="e">
        <f>AND(#REF!,"AAAAAF7+vmE=")</f>
        <v>#REF!</v>
      </c>
      <c r="CU3" t="e">
        <f>AND(#REF!,"AAAAAF7+vmI=")</f>
        <v>#REF!</v>
      </c>
      <c r="CV3" t="e">
        <f>AND(#REF!,"AAAAAF7+vmM=")</f>
        <v>#REF!</v>
      </c>
      <c r="CW3" t="e">
        <f>AND(#REF!,"AAAAAF7+vmQ=")</f>
        <v>#REF!</v>
      </c>
      <c r="CX3" t="e">
        <f>AND(#REF!,"AAAAAF7+vmU=")</f>
        <v>#REF!</v>
      </c>
      <c r="CY3" t="e">
        <f>AND(#REF!,"AAAAAF7+vmY=")</f>
        <v>#REF!</v>
      </c>
      <c r="CZ3" t="e">
        <f>AND(#REF!,"AAAAAF7+vmc=")</f>
        <v>#REF!</v>
      </c>
      <c r="DA3" t="e">
        <f>IF(#REF!,"AAAAAF7+vmg=",0)</f>
        <v>#REF!</v>
      </c>
      <c r="DB3" t="e">
        <f>AND(#REF!,"AAAAAF7+vmk=")</f>
        <v>#REF!</v>
      </c>
      <c r="DC3" t="e">
        <f>AND(#REF!,"AAAAAF7+vmo=")</f>
        <v>#REF!</v>
      </c>
      <c r="DD3" t="e">
        <f>AND(#REF!,"AAAAAF7+vms=")</f>
        <v>#REF!</v>
      </c>
      <c r="DE3" t="e">
        <f>AND(#REF!,"AAAAAF7+vmw=")</f>
        <v>#REF!</v>
      </c>
      <c r="DF3" t="e">
        <f>AND(#REF!,"AAAAAF7+vm0=")</f>
        <v>#REF!</v>
      </c>
      <c r="DG3" t="e">
        <f>AND(#REF!,"AAAAAF7+vm4=")</f>
        <v>#REF!</v>
      </c>
      <c r="DH3" t="e">
        <f>AND(#REF!,"AAAAAF7+vm8=")</f>
        <v>#REF!</v>
      </c>
      <c r="DI3" t="e">
        <f>AND(#REF!,"AAAAAF7+vnA=")</f>
        <v>#REF!</v>
      </c>
      <c r="DJ3" t="e">
        <f>AND(#REF!,"AAAAAF7+vnE=")</f>
        <v>#REF!</v>
      </c>
      <c r="DK3" t="e">
        <f>AND(#REF!,"AAAAAF7+vnI=")</f>
        <v>#REF!</v>
      </c>
      <c r="DL3" t="e">
        <f>AND(#REF!,"AAAAAF7+vnM=")</f>
        <v>#REF!</v>
      </c>
      <c r="DM3" t="e">
        <f>AND(#REF!,"AAAAAF7+vnQ=")</f>
        <v>#REF!</v>
      </c>
      <c r="DN3" t="e">
        <f>AND(#REF!,"AAAAAF7+vnU=")</f>
        <v>#REF!</v>
      </c>
      <c r="DO3" t="e">
        <f>AND(#REF!,"AAAAAF7+vnY=")</f>
        <v>#REF!</v>
      </c>
      <c r="DP3" t="e">
        <f>AND(#REF!,"AAAAAF7+vnc=")</f>
        <v>#REF!</v>
      </c>
      <c r="DQ3" t="e">
        <f>AND(#REF!,"AAAAAF7+vng=")</f>
        <v>#REF!</v>
      </c>
      <c r="DR3" t="e">
        <f>AND(#REF!,"AAAAAF7+vnk=")</f>
        <v>#REF!</v>
      </c>
      <c r="DS3" t="e">
        <f>AND(#REF!,"AAAAAF7+vno=")</f>
        <v>#REF!</v>
      </c>
      <c r="DT3" t="e">
        <f>AND(#REF!,"AAAAAF7+vns=")</f>
        <v>#REF!</v>
      </c>
      <c r="DU3" t="e">
        <f>AND(#REF!,"AAAAAF7+vnw=")</f>
        <v>#REF!</v>
      </c>
      <c r="DV3" t="e">
        <f>AND(#REF!,"AAAAAF7+vn0=")</f>
        <v>#REF!</v>
      </c>
      <c r="DW3" t="e">
        <f>IF(#REF!,"AAAAAF7+vn4=",0)</f>
        <v>#REF!</v>
      </c>
      <c r="DX3" t="e">
        <f>AND(#REF!,"AAAAAF7+vn8=")</f>
        <v>#REF!</v>
      </c>
      <c r="DY3" t="e">
        <f>AND(#REF!,"AAAAAF7+voA=")</f>
        <v>#REF!</v>
      </c>
      <c r="DZ3" t="e">
        <f>AND(#REF!,"AAAAAF7+voE=")</f>
        <v>#REF!</v>
      </c>
      <c r="EA3" t="e">
        <f>AND(#REF!,"AAAAAF7+voI=")</f>
        <v>#REF!</v>
      </c>
      <c r="EB3" t="e">
        <f>AND(#REF!,"AAAAAF7+voM=")</f>
        <v>#REF!</v>
      </c>
      <c r="EC3" t="e">
        <f>AND(#REF!,"AAAAAF7+voQ=")</f>
        <v>#REF!</v>
      </c>
      <c r="ED3" t="e">
        <f>AND(#REF!,"AAAAAF7+voU=")</f>
        <v>#REF!</v>
      </c>
      <c r="EE3" t="e">
        <f>AND(#REF!,"AAAAAF7+voY=")</f>
        <v>#REF!</v>
      </c>
      <c r="EF3" t="e">
        <f>AND(#REF!,"AAAAAF7+voc=")</f>
        <v>#REF!</v>
      </c>
      <c r="EG3" t="e">
        <f>AND(#REF!,"AAAAAF7+vog=")</f>
        <v>#REF!</v>
      </c>
      <c r="EH3" t="e">
        <f>AND(#REF!,"AAAAAF7+vok=")</f>
        <v>#REF!</v>
      </c>
      <c r="EI3" t="e">
        <f>AND(#REF!,"AAAAAF7+voo=")</f>
        <v>#REF!</v>
      </c>
      <c r="EJ3" t="e">
        <f>AND(#REF!,"AAAAAF7+vos=")</f>
        <v>#REF!</v>
      </c>
      <c r="EK3" t="e">
        <f>AND(#REF!,"AAAAAF7+vow=")</f>
        <v>#REF!</v>
      </c>
      <c r="EL3" t="e">
        <f>AND(#REF!,"AAAAAF7+vo0=")</f>
        <v>#REF!</v>
      </c>
      <c r="EM3" t="e">
        <f>AND(#REF!,"AAAAAF7+vo4=")</f>
        <v>#REF!</v>
      </c>
      <c r="EN3" t="e">
        <f>AND(#REF!,"AAAAAF7+vo8=")</f>
        <v>#REF!</v>
      </c>
      <c r="EO3" t="e">
        <f>AND(#REF!,"AAAAAF7+vpA=")</f>
        <v>#REF!</v>
      </c>
      <c r="EP3" t="e">
        <f>AND(#REF!,"AAAAAF7+vpE=")</f>
        <v>#REF!</v>
      </c>
      <c r="EQ3" t="e">
        <f>AND(#REF!,"AAAAAF7+vpI=")</f>
        <v>#REF!</v>
      </c>
      <c r="ER3" t="e">
        <f>AND(#REF!,"AAAAAF7+vpM=")</f>
        <v>#REF!</v>
      </c>
      <c r="ES3" t="e">
        <f>IF(#REF!,"AAAAAF7+vpQ=",0)</f>
        <v>#REF!</v>
      </c>
      <c r="ET3" t="e">
        <f>AND(#REF!,"AAAAAF7+vpU=")</f>
        <v>#REF!</v>
      </c>
      <c r="EU3" t="e">
        <f>AND(#REF!,"AAAAAF7+vpY=")</f>
        <v>#REF!</v>
      </c>
      <c r="EV3" t="e">
        <f>AND(#REF!,"AAAAAF7+vpc=")</f>
        <v>#REF!</v>
      </c>
      <c r="EW3" t="e">
        <f>AND(#REF!,"AAAAAF7+vpg=")</f>
        <v>#REF!</v>
      </c>
      <c r="EX3" t="e">
        <f>AND(#REF!,"AAAAAF7+vpk=")</f>
        <v>#REF!</v>
      </c>
      <c r="EY3" t="e">
        <f>AND(#REF!,"AAAAAF7+vpo=")</f>
        <v>#REF!</v>
      </c>
      <c r="EZ3" t="e">
        <f>AND(#REF!,"AAAAAF7+vps=")</f>
        <v>#REF!</v>
      </c>
      <c r="FA3" t="e">
        <f>AND(#REF!,"AAAAAF7+vpw=")</f>
        <v>#REF!</v>
      </c>
      <c r="FB3" t="e">
        <f>AND(#REF!,"AAAAAF7+vp0=")</f>
        <v>#REF!</v>
      </c>
      <c r="FC3" t="e">
        <f>AND(#REF!,"AAAAAF7+vp4=")</f>
        <v>#REF!</v>
      </c>
      <c r="FD3" t="e">
        <f>AND(#REF!,"AAAAAF7+vp8=")</f>
        <v>#REF!</v>
      </c>
      <c r="FE3" t="e">
        <f>AND(#REF!,"AAAAAF7+vqA=")</f>
        <v>#REF!</v>
      </c>
      <c r="FF3" t="e">
        <f>AND(#REF!,"AAAAAF7+vqE=")</f>
        <v>#REF!</v>
      </c>
      <c r="FG3" t="e">
        <f>AND(#REF!,"AAAAAF7+vqI=")</f>
        <v>#REF!</v>
      </c>
      <c r="FH3" t="e">
        <f>AND(#REF!,"AAAAAF7+vqM=")</f>
        <v>#REF!</v>
      </c>
      <c r="FI3" t="e">
        <f>AND(#REF!,"AAAAAF7+vqQ=")</f>
        <v>#REF!</v>
      </c>
      <c r="FJ3" t="e">
        <f>AND(#REF!,"AAAAAF7+vqU=")</f>
        <v>#REF!</v>
      </c>
      <c r="FK3" t="e">
        <f>AND(#REF!,"AAAAAF7+vqY=")</f>
        <v>#REF!</v>
      </c>
      <c r="FL3" t="e">
        <f>AND(#REF!,"AAAAAF7+vqc=")</f>
        <v>#REF!</v>
      </c>
      <c r="FM3" t="e">
        <f>AND(#REF!,"AAAAAF7+vqg=")</f>
        <v>#REF!</v>
      </c>
      <c r="FN3" t="e">
        <f>AND(#REF!,"AAAAAF7+vqk=")</f>
        <v>#REF!</v>
      </c>
      <c r="FO3" t="e">
        <f>IF(#REF!,"AAAAAF7+vqo=",0)</f>
        <v>#REF!</v>
      </c>
      <c r="FP3" t="e">
        <f>AND(#REF!,"AAAAAF7+vqs=")</f>
        <v>#REF!</v>
      </c>
      <c r="FQ3" t="e">
        <f>AND(#REF!,"AAAAAF7+vqw=")</f>
        <v>#REF!</v>
      </c>
      <c r="FR3" t="e">
        <f>AND(#REF!,"AAAAAF7+vq0=")</f>
        <v>#REF!</v>
      </c>
      <c r="FS3" t="e">
        <f>AND(#REF!,"AAAAAF7+vq4=")</f>
        <v>#REF!</v>
      </c>
      <c r="FT3" t="e">
        <f>AND(#REF!,"AAAAAF7+vq8=")</f>
        <v>#REF!</v>
      </c>
      <c r="FU3" t="e">
        <f>AND(#REF!,"AAAAAF7+vrA=")</f>
        <v>#REF!</v>
      </c>
      <c r="FV3" t="e">
        <f>AND(#REF!,"AAAAAF7+vrE=")</f>
        <v>#REF!</v>
      </c>
      <c r="FW3" t="e">
        <f>AND(#REF!,"AAAAAF7+vrI=")</f>
        <v>#REF!</v>
      </c>
      <c r="FX3" t="e">
        <f>AND(#REF!,"AAAAAF7+vrM=")</f>
        <v>#REF!</v>
      </c>
      <c r="FY3" t="e">
        <f>AND(#REF!,"AAAAAF7+vrQ=")</f>
        <v>#REF!</v>
      </c>
      <c r="FZ3" t="e">
        <f>AND(#REF!,"AAAAAF7+vrU=")</f>
        <v>#REF!</v>
      </c>
      <c r="GA3" t="e">
        <f>AND(#REF!,"AAAAAF7+vrY=")</f>
        <v>#REF!</v>
      </c>
      <c r="GB3" t="e">
        <f>AND(#REF!,"AAAAAF7+vrc=")</f>
        <v>#REF!</v>
      </c>
      <c r="GC3" t="e">
        <f>AND(#REF!,"AAAAAF7+vrg=")</f>
        <v>#REF!</v>
      </c>
      <c r="GD3" t="e">
        <f>AND(#REF!,"AAAAAF7+vrk=")</f>
        <v>#REF!</v>
      </c>
      <c r="GE3" t="e">
        <f>AND(#REF!,"AAAAAF7+vro=")</f>
        <v>#REF!</v>
      </c>
      <c r="GF3" t="e">
        <f>AND(#REF!,"AAAAAF7+vrs=")</f>
        <v>#REF!</v>
      </c>
      <c r="GG3" t="e">
        <f>AND(#REF!,"AAAAAF7+vrw=")</f>
        <v>#REF!</v>
      </c>
      <c r="GH3" t="e">
        <f>AND(#REF!,"AAAAAF7+vr0=")</f>
        <v>#REF!</v>
      </c>
      <c r="GI3" t="e">
        <f>AND(#REF!,"AAAAAF7+vr4=")</f>
        <v>#REF!</v>
      </c>
      <c r="GJ3" t="e">
        <f>AND(#REF!,"AAAAAF7+vr8=")</f>
        <v>#REF!</v>
      </c>
      <c r="GK3" t="e">
        <f>IF(#REF!,"AAAAAF7+vsA=",0)</f>
        <v>#REF!</v>
      </c>
      <c r="GL3" t="e">
        <f>AND(#REF!,"AAAAAF7+vsE=")</f>
        <v>#REF!</v>
      </c>
      <c r="GM3" t="e">
        <f>AND(#REF!,"AAAAAF7+vsI=")</f>
        <v>#REF!</v>
      </c>
      <c r="GN3" t="e">
        <f>AND(#REF!,"AAAAAF7+vsM=")</f>
        <v>#REF!</v>
      </c>
      <c r="GO3" t="e">
        <f>AND(#REF!,"AAAAAF7+vsQ=")</f>
        <v>#REF!</v>
      </c>
      <c r="GP3" t="e">
        <f>AND(#REF!,"AAAAAF7+vsU=")</f>
        <v>#REF!</v>
      </c>
      <c r="GQ3" t="e">
        <f>AND(#REF!,"AAAAAF7+vsY=")</f>
        <v>#REF!</v>
      </c>
      <c r="GR3" t="e">
        <f>AND(#REF!,"AAAAAF7+vsc=")</f>
        <v>#REF!</v>
      </c>
      <c r="GS3" t="e">
        <f>AND(#REF!,"AAAAAF7+vsg=")</f>
        <v>#REF!</v>
      </c>
      <c r="GT3" t="e">
        <f>AND(#REF!,"AAAAAF7+vsk=")</f>
        <v>#REF!</v>
      </c>
      <c r="GU3" t="e">
        <f>AND(#REF!,"AAAAAF7+vso=")</f>
        <v>#REF!</v>
      </c>
      <c r="GV3" t="e">
        <f>AND(#REF!,"AAAAAF7+vss=")</f>
        <v>#REF!</v>
      </c>
      <c r="GW3" t="e">
        <f>AND(#REF!,"AAAAAF7+vsw=")</f>
        <v>#REF!</v>
      </c>
      <c r="GX3" t="e">
        <f>AND(#REF!,"AAAAAF7+vs0=")</f>
        <v>#REF!</v>
      </c>
      <c r="GY3" t="e">
        <f>AND(#REF!,"AAAAAF7+vs4=")</f>
        <v>#REF!</v>
      </c>
      <c r="GZ3" t="e">
        <f>AND(#REF!,"AAAAAF7+vs8=")</f>
        <v>#REF!</v>
      </c>
      <c r="HA3" t="e">
        <f>AND(#REF!,"AAAAAF7+vtA=")</f>
        <v>#REF!</v>
      </c>
      <c r="HB3" t="e">
        <f>AND(#REF!,"AAAAAF7+vtE=")</f>
        <v>#REF!</v>
      </c>
      <c r="HC3" t="e">
        <f>AND(#REF!,"AAAAAF7+vtI=")</f>
        <v>#REF!</v>
      </c>
      <c r="HD3" t="e">
        <f>AND(#REF!,"AAAAAF7+vtM=")</f>
        <v>#REF!</v>
      </c>
      <c r="HE3" t="e">
        <f>AND(#REF!,"AAAAAF7+vtQ=")</f>
        <v>#REF!</v>
      </c>
      <c r="HF3" t="e">
        <f>AND(#REF!,"AAAAAF7+vtU=")</f>
        <v>#REF!</v>
      </c>
      <c r="HG3" t="e">
        <f>IF(#REF!,"AAAAAF7+vtY=",0)</f>
        <v>#REF!</v>
      </c>
      <c r="HH3" t="e">
        <f>AND(#REF!,"AAAAAF7+vtc=")</f>
        <v>#REF!</v>
      </c>
      <c r="HI3" t="e">
        <f>AND(#REF!,"AAAAAF7+vtg=")</f>
        <v>#REF!</v>
      </c>
      <c r="HJ3" t="e">
        <f>AND(#REF!,"AAAAAF7+vtk=")</f>
        <v>#REF!</v>
      </c>
      <c r="HK3" t="e">
        <f>AND(#REF!,"AAAAAF7+vto=")</f>
        <v>#REF!</v>
      </c>
      <c r="HL3" t="e">
        <f>AND(#REF!,"AAAAAF7+vts=")</f>
        <v>#REF!</v>
      </c>
      <c r="HM3" t="e">
        <f>AND(#REF!,"AAAAAF7+vtw=")</f>
        <v>#REF!</v>
      </c>
      <c r="HN3" t="e">
        <f>AND(#REF!,"AAAAAF7+vt0=")</f>
        <v>#REF!</v>
      </c>
      <c r="HO3" t="e">
        <f>AND(#REF!,"AAAAAF7+vt4=")</f>
        <v>#REF!</v>
      </c>
      <c r="HP3" t="e">
        <f>AND(#REF!,"AAAAAF7+vt8=")</f>
        <v>#REF!</v>
      </c>
      <c r="HQ3" t="e">
        <f>AND(#REF!,"AAAAAF7+vuA=")</f>
        <v>#REF!</v>
      </c>
      <c r="HR3" t="e">
        <f>AND(#REF!,"AAAAAF7+vuE=")</f>
        <v>#REF!</v>
      </c>
      <c r="HS3" t="e">
        <f>AND(#REF!,"AAAAAF7+vuI=")</f>
        <v>#REF!</v>
      </c>
      <c r="HT3" t="e">
        <f>AND(#REF!,"AAAAAF7+vuM=")</f>
        <v>#REF!</v>
      </c>
      <c r="HU3" t="e">
        <f>AND(#REF!,"AAAAAF7+vuQ=")</f>
        <v>#REF!</v>
      </c>
      <c r="HV3" t="e">
        <f>AND(#REF!,"AAAAAF7+vuU=")</f>
        <v>#REF!</v>
      </c>
      <c r="HW3" t="e">
        <f>AND(#REF!,"AAAAAF7+vuY=")</f>
        <v>#REF!</v>
      </c>
      <c r="HX3" t="e">
        <f>AND(#REF!,"AAAAAF7+vuc=")</f>
        <v>#REF!</v>
      </c>
      <c r="HY3" t="e">
        <f>AND(#REF!,"AAAAAF7+vug=")</f>
        <v>#REF!</v>
      </c>
      <c r="HZ3" t="e">
        <f>AND(#REF!,"AAAAAF7+vuk=")</f>
        <v>#REF!</v>
      </c>
      <c r="IA3" t="e">
        <f>AND(#REF!,"AAAAAF7+vuo=")</f>
        <v>#REF!</v>
      </c>
      <c r="IB3" t="e">
        <f>AND(#REF!,"AAAAAF7+vus=")</f>
        <v>#REF!</v>
      </c>
      <c r="IC3" t="e">
        <f>IF(#REF!,"AAAAAF7+vuw=",0)</f>
        <v>#REF!</v>
      </c>
      <c r="ID3" t="e">
        <f>AND(#REF!,"AAAAAF7+vu0=")</f>
        <v>#REF!</v>
      </c>
      <c r="IE3" t="e">
        <f>AND(#REF!,"AAAAAF7+vu4=")</f>
        <v>#REF!</v>
      </c>
      <c r="IF3" t="e">
        <f>AND(#REF!,"AAAAAF7+vu8=")</f>
        <v>#REF!</v>
      </c>
      <c r="IG3" t="e">
        <f>AND(#REF!,"AAAAAF7+vvA=")</f>
        <v>#REF!</v>
      </c>
      <c r="IH3" t="e">
        <f>AND(#REF!,"AAAAAF7+vvE=")</f>
        <v>#REF!</v>
      </c>
      <c r="II3" t="e">
        <f>AND(#REF!,"AAAAAF7+vvI=")</f>
        <v>#REF!</v>
      </c>
      <c r="IJ3" t="e">
        <f>AND(#REF!,"AAAAAF7+vvM=")</f>
        <v>#REF!</v>
      </c>
      <c r="IK3" t="e">
        <f>AND(#REF!,"AAAAAF7+vvQ=")</f>
        <v>#REF!</v>
      </c>
      <c r="IL3" t="e">
        <f>AND(#REF!,"AAAAAF7+vvU=")</f>
        <v>#REF!</v>
      </c>
      <c r="IM3" t="e">
        <f>AND(#REF!,"AAAAAF7+vvY=")</f>
        <v>#REF!</v>
      </c>
      <c r="IN3" t="e">
        <f>AND(#REF!,"AAAAAF7+vvc=")</f>
        <v>#REF!</v>
      </c>
      <c r="IO3" t="e">
        <f>AND(#REF!,"AAAAAF7+vvg=")</f>
        <v>#REF!</v>
      </c>
      <c r="IP3" t="e">
        <f>AND(#REF!,"AAAAAF7+vvk=")</f>
        <v>#REF!</v>
      </c>
      <c r="IQ3" t="e">
        <f>AND(#REF!,"AAAAAF7+vvo=")</f>
        <v>#REF!</v>
      </c>
      <c r="IR3" t="e">
        <f>AND(#REF!,"AAAAAF7+vvs=")</f>
        <v>#REF!</v>
      </c>
      <c r="IS3" t="e">
        <f>AND(#REF!,"AAAAAF7+vvw=")</f>
        <v>#REF!</v>
      </c>
      <c r="IT3" t="e">
        <f>AND(#REF!,"AAAAAF7+vv0=")</f>
        <v>#REF!</v>
      </c>
      <c r="IU3" t="e">
        <f>AND(#REF!,"AAAAAF7+vv4=")</f>
        <v>#REF!</v>
      </c>
      <c r="IV3" t="e">
        <f>AND(#REF!,"AAAAAF7+vv8=")</f>
        <v>#REF!</v>
      </c>
    </row>
    <row r="4" spans="1:256">
      <c r="A4" t="e">
        <f>AND(#REF!,"AAAAAD7v+wA=")</f>
        <v>#REF!</v>
      </c>
      <c r="B4" t="e">
        <f>AND(#REF!,"AAAAAD7v+wE=")</f>
        <v>#REF!</v>
      </c>
      <c r="C4" t="e">
        <f>IF(#REF!,"AAAAAD7v+wI=",0)</f>
        <v>#REF!</v>
      </c>
      <c r="D4" t="e">
        <f>AND(#REF!,"AAAAAD7v+wM=")</f>
        <v>#REF!</v>
      </c>
      <c r="E4" t="e">
        <f>AND(#REF!,"AAAAAD7v+wQ=")</f>
        <v>#REF!</v>
      </c>
      <c r="F4" t="e">
        <f>AND(#REF!,"AAAAAD7v+wU=")</f>
        <v>#REF!</v>
      </c>
      <c r="G4" t="e">
        <f>AND(#REF!,"AAAAAD7v+wY=")</f>
        <v>#REF!</v>
      </c>
      <c r="H4" t="e">
        <f>AND(#REF!,"AAAAAD7v+wc=")</f>
        <v>#REF!</v>
      </c>
      <c r="I4" t="e">
        <f>AND(#REF!,"AAAAAD7v+wg=")</f>
        <v>#REF!</v>
      </c>
      <c r="J4" t="e">
        <f>AND(#REF!,"AAAAAD7v+wk=")</f>
        <v>#REF!</v>
      </c>
      <c r="K4" t="e">
        <f>AND(#REF!,"AAAAAD7v+wo=")</f>
        <v>#REF!</v>
      </c>
      <c r="L4" t="e">
        <f>AND(#REF!,"AAAAAD7v+ws=")</f>
        <v>#REF!</v>
      </c>
      <c r="M4" t="e">
        <f>AND(#REF!,"AAAAAD7v+ww=")</f>
        <v>#REF!</v>
      </c>
      <c r="N4" t="e">
        <f>AND(#REF!,"AAAAAD7v+w0=")</f>
        <v>#REF!</v>
      </c>
      <c r="O4" t="e">
        <f>AND(#REF!,"AAAAAD7v+w4=")</f>
        <v>#REF!</v>
      </c>
      <c r="P4" t="e">
        <f>AND(#REF!,"AAAAAD7v+w8=")</f>
        <v>#REF!</v>
      </c>
      <c r="Q4" t="e">
        <f>AND(#REF!,"AAAAAD7v+xA=")</f>
        <v>#REF!</v>
      </c>
      <c r="R4" t="e">
        <f>AND(#REF!,"AAAAAD7v+xE=")</f>
        <v>#REF!</v>
      </c>
      <c r="S4" t="e">
        <f>AND(#REF!,"AAAAAD7v+xI=")</f>
        <v>#REF!</v>
      </c>
      <c r="T4" t="e">
        <f>AND(#REF!,"AAAAAD7v+xM=")</f>
        <v>#REF!</v>
      </c>
      <c r="U4" t="e">
        <f>AND(#REF!,"AAAAAD7v+xQ=")</f>
        <v>#REF!</v>
      </c>
      <c r="V4" t="e">
        <f>AND(#REF!,"AAAAAD7v+xU=")</f>
        <v>#REF!</v>
      </c>
      <c r="W4" t="e">
        <f>AND(#REF!,"AAAAAD7v+xY=")</f>
        <v>#REF!</v>
      </c>
      <c r="X4" t="e">
        <f>AND(#REF!,"AAAAAD7v+xc=")</f>
        <v>#REF!</v>
      </c>
      <c r="Y4" t="e">
        <f>IF(#REF!,"AAAAAD7v+xg=",0)</f>
        <v>#REF!</v>
      </c>
      <c r="Z4" t="e">
        <f>AND(#REF!,"AAAAAD7v+xk=")</f>
        <v>#REF!</v>
      </c>
      <c r="AA4" t="e">
        <f>AND(#REF!,"AAAAAD7v+xo=")</f>
        <v>#REF!</v>
      </c>
      <c r="AB4" t="e">
        <f>AND(#REF!,"AAAAAD7v+xs=")</f>
        <v>#REF!</v>
      </c>
      <c r="AC4" t="e">
        <f>AND(#REF!,"AAAAAD7v+xw=")</f>
        <v>#REF!</v>
      </c>
      <c r="AD4" t="e">
        <f>AND(#REF!,"AAAAAD7v+x0=")</f>
        <v>#REF!</v>
      </c>
      <c r="AE4" t="e">
        <f>AND(#REF!,"AAAAAD7v+x4=")</f>
        <v>#REF!</v>
      </c>
      <c r="AF4" t="e">
        <f>AND(#REF!,"AAAAAD7v+x8=")</f>
        <v>#REF!</v>
      </c>
      <c r="AG4" t="e">
        <f>AND(#REF!,"AAAAAD7v+yA=")</f>
        <v>#REF!</v>
      </c>
      <c r="AH4" t="e">
        <f>AND(#REF!,"AAAAAD7v+yE=")</f>
        <v>#REF!</v>
      </c>
      <c r="AI4" t="e">
        <f>AND(#REF!,"AAAAAD7v+yI=")</f>
        <v>#REF!</v>
      </c>
      <c r="AJ4" t="e">
        <f>AND(#REF!,"AAAAAD7v+yM=")</f>
        <v>#REF!</v>
      </c>
      <c r="AK4" t="e">
        <f>AND(#REF!,"AAAAAD7v+yQ=")</f>
        <v>#REF!</v>
      </c>
      <c r="AL4" t="e">
        <f>AND(#REF!,"AAAAAD7v+yU=")</f>
        <v>#REF!</v>
      </c>
      <c r="AM4" t="e">
        <f>AND(#REF!,"AAAAAD7v+yY=")</f>
        <v>#REF!</v>
      </c>
      <c r="AN4" t="e">
        <f>AND(#REF!,"AAAAAD7v+yc=")</f>
        <v>#REF!</v>
      </c>
      <c r="AO4" t="e">
        <f>AND(#REF!,"AAAAAD7v+yg=")</f>
        <v>#REF!</v>
      </c>
      <c r="AP4" t="e">
        <f>AND(#REF!,"AAAAAD7v+yk=")</f>
        <v>#REF!</v>
      </c>
      <c r="AQ4" t="e">
        <f>AND(#REF!,"AAAAAD7v+yo=")</f>
        <v>#REF!</v>
      </c>
      <c r="AR4" t="e">
        <f>AND(#REF!,"AAAAAD7v+ys=")</f>
        <v>#REF!</v>
      </c>
      <c r="AS4" t="e">
        <f>AND(#REF!,"AAAAAD7v+yw=")</f>
        <v>#REF!</v>
      </c>
      <c r="AT4" t="e">
        <f>AND(#REF!,"AAAAAD7v+y0=")</f>
        <v>#REF!</v>
      </c>
      <c r="AU4" t="e">
        <f>IF(#REF!,"AAAAAD7v+y4=",0)</f>
        <v>#REF!</v>
      </c>
      <c r="AV4" t="e">
        <f>AND(#REF!,"AAAAAD7v+y8=")</f>
        <v>#REF!</v>
      </c>
      <c r="AW4" t="e">
        <f>AND(#REF!,"AAAAAD7v+zA=")</f>
        <v>#REF!</v>
      </c>
      <c r="AX4" t="e">
        <f>AND(#REF!,"AAAAAD7v+zE=")</f>
        <v>#REF!</v>
      </c>
      <c r="AY4" t="e">
        <f>AND(#REF!,"AAAAAD7v+zI=")</f>
        <v>#REF!</v>
      </c>
      <c r="AZ4" t="e">
        <f>AND(#REF!,"AAAAAD7v+zM=")</f>
        <v>#REF!</v>
      </c>
      <c r="BA4" t="e">
        <f>AND(#REF!,"AAAAAD7v+zQ=")</f>
        <v>#REF!</v>
      </c>
      <c r="BB4" t="e">
        <f>AND(#REF!,"AAAAAD7v+zU=")</f>
        <v>#REF!</v>
      </c>
      <c r="BC4" t="e">
        <f>AND(#REF!,"AAAAAD7v+zY=")</f>
        <v>#REF!</v>
      </c>
      <c r="BD4" t="e">
        <f>AND(#REF!,"AAAAAD7v+zc=")</f>
        <v>#REF!</v>
      </c>
      <c r="BE4" t="e">
        <f>AND(#REF!,"AAAAAD7v+zg=")</f>
        <v>#REF!</v>
      </c>
      <c r="BF4" t="e">
        <f>AND(#REF!,"AAAAAD7v+zk=")</f>
        <v>#REF!</v>
      </c>
      <c r="BG4" t="e">
        <f>AND(#REF!,"AAAAAD7v+zo=")</f>
        <v>#REF!</v>
      </c>
      <c r="BH4" t="e">
        <f>AND(#REF!,"AAAAAD7v+zs=")</f>
        <v>#REF!</v>
      </c>
      <c r="BI4" t="e">
        <f>AND(#REF!,"AAAAAD7v+zw=")</f>
        <v>#REF!</v>
      </c>
      <c r="BJ4" t="e">
        <f>AND(#REF!,"AAAAAD7v+z0=")</f>
        <v>#REF!</v>
      </c>
      <c r="BK4" t="e">
        <f>AND(#REF!,"AAAAAD7v+z4=")</f>
        <v>#REF!</v>
      </c>
      <c r="BL4" t="e">
        <f>AND(#REF!,"AAAAAD7v+z8=")</f>
        <v>#REF!</v>
      </c>
      <c r="BM4" t="e">
        <f>AND(#REF!,"AAAAAD7v+0A=")</f>
        <v>#REF!</v>
      </c>
      <c r="BN4" t="e">
        <f>AND(#REF!,"AAAAAD7v+0E=")</f>
        <v>#REF!</v>
      </c>
      <c r="BO4" t="e">
        <f>AND(#REF!,"AAAAAD7v+0I=")</f>
        <v>#REF!</v>
      </c>
      <c r="BP4" t="e">
        <f>AND(#REF!,"AAAAAD7v+0M=")</f>
        <v>#REF!</v>
      </c>
      <c r="BQ4" t="e">
        <f>IF(#REF!,"AAAAAD7v+0Q=",0)</f>
        <v>#REF!</v>
      </c>
      <c r="BR4" t="e">
        <f>AND(#REF!,"AAAAAD7v+0U=")</f>
        <v>#REF!</v>
      </c>
      <c r="BS4" t="e">
        <f>AND(#REF!,"AAAAAD7v+0Y=")</f>
        <v>#REF!</v>
      </c>
      <c r="BT4" t="e">
        <f>AND(#REF!,"AAAAAD7v+0c=")</f>
        <v>#REF!</v>
      </c>
      <c r="BU4" t="e">
        <f>AND(#REF!,"AAAAAD7v+0g=")</f>
        <v>#REF!</v>
      </c>
      <c r="BV4" t="e">
        <f>AND(#REF!,"AAAAAD7v+0k=")</f>
        <v>#REF!</v>
      </c>
      <c r="BW4" t="e">
        <f>AND(#REF!,"AAAAAD7v+0o=")</f>
        <v>#REF!</v>
      </c>
      <c r="BX4" t="e">
        <f>AND(#REF!,"AAAAAD7v+0s=")</f>
        <v>#REF!</v>
      </c>
      <c r="BY4" t="e">
        <f>AND(#REF!,"AAAAAD7v+0w=")</f>
        <v>#REF!</v>
      </c>
      <c r="BZ4" t="e">
        <f>AND(#REF!,"AAAAAD7v+00=")</f>
        <v>#REF!</v>
      </c>
      <c r="CA4" t="e">
        <f>AND(#REF!,"AAAAAD7v+04=")</f>
        <v>#REF!</v>
      </c>
      <c r="CB4" t="e">
        <f>AND(#REF!,"AAAAAD7v+08=")</f>
        <v>#REF!</v>
      </c>
      <c r="CC4" t="e">
        <f>AND(#REF!,"AAAAAD7v+1A=")</f>
        <v>#REF!</v>
      </c>
      <c r="CD4" t="e">
        <f>AND(#REF!,"AAAAAD7v+1E=")</f>
        <v>#REF!</v>
      </c>
      <c r="CE4" t="e">
        <f>AND(#REF!,"AAAAAD7v+1I=")</f>
        <v>#REF!</v>
      </c>
      <c r="CF4" t="e">
        <f>AND(#REF!,"AAAAAD7v+1M=")</f>
        <v>#REF!</v>
      </c>
      <c r="CG4" t="e">
        <f>AND(#REF!,"AAAAAD7v+1Q=")</f>
        <v>#REF!</v>
      </c>
      <c r="CH4" t="e">
        <f>AND(#REF!,"AAAAAD7v+1U=")</f>
        <v>#REF!</v>
      </c>
      <c r="CI4" t="e">
        <f>AND(#REF!,"AAAAAD7v+1Y=")</f>
        <v>#REF!</v>
      </c>
      <c r="CJ4" t="e">
        <f>AND(#REF!,"AAAAAD7v+1c=")</f>
        <v>#REF!</v>
      </c>
      <c r="CK4" t="e">
        <f>AND(#REF!,"AAAAAD7v+1g=")</f>
        <v>#REF!</v>
      </c>
      <c r="CL4" t="e">
        <f>AND(#REF!,"AAAAAD7v+1k=")</f>
        <v>#REF!</v>
      </c>
      <c r="CM4" t="e">
        <f>IF(#REF!,"AAAAAD7v+1o=",0)</f>
        <v>#REF!</v>
      </c>
      <c r="CN4" t="e">
        <f>AND(#REF!,"AAAAAD7v+1s=")</f>
        <v>#REF!</v>
      </c>
      <c r="CO4" t="e">
        <f>AND(#REF!,"AAAAAD7v+1w=")</f>
        <v>#REF!</v>
      </c>
      <c r="CP4" t="e">
        <f>AND(#REF!,"AAAAAD7v+10=")</f>
        <v>#REF!</v>
      </c>
      <c r="CQ4" t="e">
        <f>AND(#REF!,"AAAAAD7v+14=")</f>
        <v>#REF!</v>
      </c>
      <c r="CR4" t="e">
        <f>AND(#REF!,"AAAAAD7v+18=")</f>
        <v>#REF!</v>
      </c>
      <c r="CS4" t="e">
        <f>AND(#REF!,"AAAAAD7v+2A=")</f>
        <v>#REF!</v>
      </c>
      <c r="CT4" t="e">
        <f>AND(#REF!,"AAAAAD7v+2E=")</f>
        <v>#REF!</v>
      </c>
      <c r="CU4" t="e">
        <f>AND(#REF!,"AAAAAD7v+2I=")</f>
        <v>#REF!</v>
      </c>
      <c r="CV4" t="e">
        <f>AND(#REF!,"AAAAAD7v+2M=")</f>
        <v>#REF!</v>
      </c>
      <c r="CW4" t="e">
        <f>AND(#REF!,"AAAAAD7v+2Q=")</f>
        <v>#REF!</v>
      </c>
      <c r="CX4" t="e">
        <f>AND(#REF!,"AAAAAD7v+2U=")</f>
        <v>#REF!</v>
      </c>
      <c r="CY4" t="e">
        <f>AND(#REF!,"AAAAAD7v+2Y=")</f>
        <v>#REF!</v>
      </c>
      <c r="CZ4" t="e">
        <f>AND(#REF!,"AAAAAD7v+2c=")</f>
        <v>#REF!</v>
      </c>
      <c r="DA4" t="e">
        <f>AND(#REF!,"AAAAAD7v+2g=")</f>
        <v>#REF!</v>
      </c>
      <c r="DB4" t="e">
        <f>AND(#REF!,"AAAAAD7v+2k=")</f>
        <v>#REF!</v>
      </c>
      <c r="DC4" t="e">
        <f>AND(#REF!,"AAAAAD7v+2o=")</f>
        <v>#REF!</v>
      </c>
      <c r="DD4" t="e">
        <f>AND(#REF!,"AAAAAD7v+2s=")</f>
        <v>#REF!</v>
      </c>
      <c r="DE4" t="e">
        <f>AND(#REF!,"AAAAAD7v+2w=")</f>
        <v>#REF!</v>
      </c>
      <c r="DF4" t="e">
        <f>AND(#REF!,"AAAAAD7v+20=")</f>
        <v>#REF!</v>
      </c>
      <c r="DG4" t="e">
        <f>AND(#REF!,"AAAAAD7v+24=")</f>
        <v>#REF!</v>
      </c>
      <c r="DH4" t="e">
        <f>AND(#REF!,"AAAAAD7v+28=")</f>
        <v>#REF!</v>
      </c>
      <c r="DI4" t="e">
        <f>IF(#REF!,"AAAAAD7v+3A=",0)</f>
        <v>#REF!</v>
      </c>
      <c r="DJ4" t="e">
        <f>AND(#REF!,"AAAAAD7v+3E=")</f>
        <v>#REF!</v>
      </c>
      <c r="DK4" t="e">
        <f>AND(#REF!,"AAAAAD7v+3I=")</f>
        <v>#REF!</v>
      </c>
      <c r="DL4" t="e">
        <f>AND(#REF!,"AAAAAD7v+3M=")</f>
        <v>#REF!</v>
      </c>
      <c r="DM4" t="e">
        <f>AND(#REF!,"AAAAAD7v+3Q=")</f>
        <v>#REF!</v>
      </c>
      <c r="DN4" t="e">
        <f>AND(#REF!,"AAAAAD7v+3U=")</f>
        <v>#REF!</v>
      </c>
      <c r="DO4" t="e">
        <f>AND(#REF!,"AAAAAD7v+3Y=")</f>
        <v>#REF!</v>
      </c>
      <c r="DP4" t="e">
        <f>AND(#REF!,"AAAAAD7v+3c=")</f>
        <v>#REF!</v>
      </c>
      <c r="DQ4" t="e">
        <f>AND(#REF!,"AAAAAD7v+3g=")</f>
        <v>#REF!</v>
      </c>
      <c r="DR4" t="e">
        <f>AND(#REF!,"AAAAAD7v+3k=")</f>
        <v>#REF!</v>
      </c>
      <c r="DS4" t="e">
        <f>AND(#REF!,"AAAAAD7v+3o=")</f>
        <v>#REF!</v>
      </c>
      <c r="DT4" t="e">
        <f>AND(#REF!,"AAAAAD7v+3s=")</f>
        <v>#REF!</v>
      </c>
      <c r="DU4" t="e">
        <f>AND(#REF!,"AAAAAD7v+3w=")</f>
        <v>#REF!</v>
      </c>
      <c r="DV4" t="e">
        <f>AND(#REF!,"AAAAAD7v+30=")</f>
        <v>#REF!</v>
      </c>
      <c r="DW4" t="e">
        <f>AND(#REF!,"AAAAAD7v+34=")</f>
        <v>#REF!</v>
      </c>
      <c r="DX4" t="e">
        <f>AND(#REF!,"AAAAAD7v+38=")</f>
        <v>#REF!</v>
      </c>
      <c r="DY4" t="e">
        <f>AND(#REF!,"AAAAAD7v+4A=")</f>
        <v>#REF!</v>
      </c>
      <c r="DZ4" t="e">
        <f>AND(#REF!,"AAAAAD7v+4E=")</f>
        <v>#REF!</v>
      </c>
      <c r="EA4" t="e">
        <f>AND(#REF!,"AAAAAD7v+4I=")</f>
        <v>#REF!</v>
      </c>
      <c r="EB4" t="e">
        <f>AND(#REF!,"AAAAAD7v+4M=")</f>
        <v>#REF!</v>
      </c>
      <c r="EC4" t="e">
        <f>AND(#REF!,"AAAAAD7v+4Q=")</f>
        <v>#REF!</v>
      </c>
      <c r="ED4" t="e">
        <f>AND(#REF!,"AAAAAD7v+4U=")</f>
        <v>#REF!</v>
      </c>
      <c r="EE4" t="e">
        <f>IF(#REF!,"AAAAAD7v+4Y=",0)</f>
        <v>#REF!</v>
      </c>
      <c r="EF4" t="e">
        <f>AND(#REF!,"AAAAAD7v+4c=")</f>
        <v>#REF!</v>
      </c>
      <c r="EG4" t="e">
        <f>AND(#REF!,"AAAAAD7v+4g=")</f>
        <v>#REF!</v>
      </c>
      <c r="EH4" t="e">
        <f>AND(#REF!,"AAAAAD7v+4k=")</f>
        <v>#REF!</v>
      </c>
      <c r="EI4" t="e">
        <f>AND(#REF!,"AAAAAD7v+4o=")</f>
        <v>#REF!</v>
      </c>
      <c r="EJ4" t="e">
        <f>AND(#REF!,"AAAAAD7v+4s=")</f>
        <v>#REF!</v>
      </c>
      <c r="EK4" t="e">
        <f>AND(#REF!,"AAAAAD7v+4w=")</f>
        <v>#REF!</v>
      </c>
      <c r="EL4" t="e">
        <f>AND(#REF!,"AAAAAD7v+40=")</f>
        <v>#REF!</v>
      </c>
      <c r="EM4" t="e">
        <f>AND(#REF!,"AAAAAD7v+44=")</f>
        <v>#REF!</v>
      </c>
      <c r="EN4" t="e">
        <f>AND(#REF!,"AAAAAD7v+48=")</f>
        <v>#REF!</v>
      </c>
      <c r="EO4" t="e">
        <f>AND(#REF!,"AAAAAD7v+5A=")</f>
        <v>#REF!</v>
      </c>
      <c r="EP4" t="e">
        <f>AND(#REF!,"AAAAAD7v+5E=")</f>
        <v>#REF!</v>
      </c>
      <c r="EQ4" t="e">
        <f>AND(#REF!,"AAAAAD7v+5I=")</f>
        <v>#REF!</v>
      </c>
      <c r="ER4" t="e">
        <f>AND(#REF!,"AAAAAD7v+5M=")</f>
        <v>#REF!</v>
      </c>
      <c r="ES4" t="e">
        <f>AND(#REF!,"AAAAAD7v+5Q=")</f>
        <v>#REF!</v>
      </c>
      <c r="ET4" t="e">
        <f>AND(#REF!,"AAAAAD7v+5U=")</f>
        <v>#REF!</v>
      </c>
      <c r="EU4" t="e">
        <f>AND(#REF!,"AAAAAD7v+5Y=")</f>
        <v>#REF!</v>
      </c>
      <c r="EV4" t="e">
        <f>AND(#REF!,"AAAAAD7v+5c=")</f>
        <v>#REF!</v>
      </c>
      <c r="EW4" t="e">
        <f>AND(#REF!,"AAAAAD7v+5g=")</f>
        <v>#REF!</v>
      </c>
      <c r="EX4" t="e">
        <f>AND(#REF!,"AAAAAD7v+5k=")</f>
        <v>#REF!</v>
      </c>
      <c r="EY4" t="e">
        <f>AND(#REF!,"AAAAAD7v+5o=")</f>
        <v>#REF!</v>
      </c>
      <c r="EZ4" t="e">
        <f>AND(#REF!,"AAAAAD7v+5s=")</f>
        <v>#REF!</v>
      </c>
      <c r="FA4" t="e">
        <f>IF(#REF!,"AAAAAD7v+5w=",0)</f>
        <v>#REF!</v>
      </c>
      <c r="FB4" t="e">
        <f>AND(#REF!,"AAAAAD7v+50=")</f>
        <v>#REF!</v>
      </c>
      <c r="FC4" t="e">
        <f>AND(#REF!,"AAAAAD7v+54=")</f>
        <v>#REF!</v>
      </c>
      <c r="FD4" t="e">
        <f>AND(#REF!,"AAAAAD7v+58=")</f>
        <v>#REF!</v>
      </c>
      <c r="FE4" t="e">
        <f>AND(#REF!,"AAAAAD7v+6A=")</f>
        <v>#REF!</v>
      </c>
      <c r="FF4" t="e">
        <f>AND(#REF!,"AAAAAD7v+6E=")</f>
        <v>#REF!</v>
      </c>
      <c r="FG4" t="e">
        <f>AND(#REF!,"AAAAAD7v+6I=")</f>
        <v>#REF!</v>
      </c>
      <c r="FH4" t="e">
        <f>AND(#REF!,"AAAAAD7v+6M=")</f>
        <v>#REF!</v>
      </c>
      <c r="FI4" t="e">
        <f>AND(#REF!,"AAAAAD7v+6Q=")</f>
        <v>#REF!</v>
      </c>
      <c r="FJ4" t="e">
        <f>AND(#REF!,"AAAAAD7v+6U=")</f>
        <v>#REF!</v>
      </c>
      <c r="FK4" t="e">
        <f>AND(#REF!,"AAAAAD7v+6Y=")</f>
        <v>#REF!</v>
      </c>
      <c r="FL4" t="e">
        <f>AND(#REF!,"AAAAAD7v+6c=")</f>
        <v>#REF!</v>
      </c>
      <c r="FM4" t="e">
        <f>AND(#REF!,"AAAAAD7v+6g=")</f>
        <v>#REF!</v>
      </c>
      <c r="FN4" t="e">
        <f>AND(#REF!,"AAAAAD7v+6k=")</f>
        <v>#REF!</v>
      </c>
      <c r="FO4" t="e">
        <f>AND(#REF!,"AAAAAD7v+6o=")</f>
        <v>#REF!</v>
      </c>
      <c r="FP4" t="e">
        <f>AND(#REF!,"AAAAAD7v+6s=")</f>
        <v>#REF!</v>
      </c>
      <c r="FQ4" t="e">
        <f>AND(#REF!,"AAAAAD7v+6w=")</f>
        <v>#REF!</v>
      </c>
      <c r="FR4" t="e">
        <f>AND(#REF!,"AAAAAD7v+60=")</f>
        <v>#REF!</v>
      </c>
      <c r="FS4" t="e">
        <f>AND(#REF!,"AAAAAD7v+64=")</f>
        <v>#REF!</v>
      </c>
      <c r="FT4" t="e">
        <f>AND(#REF!,"AAAAAD7v+68=")</f>
        <v>#REF!</v>
      </c>
      <c r="FU4" t="e">
        <f>AND(#REF!,"AAAAAD7v+7A=")</f>
        <v>#REF!</v>
      </c>
      <c r="FV4" t="e">
        <f>AND(#REF!,"AAAAAD7v+7E=")</f>
        <v>#REF!</v>
      </c>
      <c r="FW4" t="e">
        <f>IF(#REF!,"AAAAAD7v+7I=",0)</f>
        <v>#REF!</v>
      </c>
      <c r="FX4" t="e">
        <f>AND(#REF!,"AAAAAD7v+7M=")</f>
        <v>#REF!</v>
      </c>
      <c r="FY4" t="e">
        <f>AND(#REF!,"AAAAAD7v+7Q=")</f>
        <v>#REF!</v>
      </c>
      <c r="FZ4" t="e">
        <f>AND(#REF!,"AAAAAD7v+7U=")</f>
        <v>#REF!</v>
      </c>
      <c r="GA4" t="e">
        <f>AND(#REF!,"AAAAAD7v+7Y=")</f>
        <v>#REF!</v>
      </c>
      <c r="GB4" t="e">
        <f>AND(#REF!,"AAAAAD7v+7c=")</f>
        <v>#REF!</v>
      </c>
      <c r="GC4" t="e">
        <f>AND(#REF!,"AAAAAD7v+7g=")</f>
        <v>#REF!</v>
      </c>
      <c r="GD4" t="e">
        <f>AND(#REF!,"AAAAAD7v+7k=")</f>
        <v>#REF!</v>
      </c>
      <c r="GE4" t="e">
        <f>AND(#REF!,"AAAAAD7v+7o=")</f>
        <v>#REF!</v>
      </c>
      <c r="GF4" t="e">
        <f>AND(#REF!,"AAAAAD7v+7s=")</f>
        <v>#REF!</v>
      </c>
      <c r="GG4" t="e">
        <f>AND(#REF!,"AAAAAD7v+7w=")</f>
        <v>#REF!</v>
      </c>
      <c r="GH4" t="e">
        <f>AND(#REF!,"AAAAAD7v+70=")</f>
        <v>#REF!</v>
      </c>
      <c r="GI4" t="e">
        <f>AND(#REF!,"AAAAAD7v+74=")</f>
        <v>#REF!</v>
      </c>
      <c r="GJ4" t="e">
        <f>AND(#REF!,"AAAAAD7v+78=")</f>
        <v>#REF!</v>
      </c>
      <c r="GK4" t="e">
        <f>AND(#REF!,"AAAAAD7v+8A=")</f>
        <v>#REF!</v>
      </c>
      <c r="GL4" t="e">
        <f>AND(#REF!,"AAAAAD7v+8E=")</f>
        <v>#REF!</v>
      </c>
      <c r="GM4" t="e">
        <f>AND(#REF!,"AAAAAD7v+8I=")</f>
        <v>#REF!</v>
      </c>
      <c r="GN4" t="e">
        <f>AND(#REF!,"AAAAAD7v+8M=")</f>
        <v>#REF!</v>
      </c>
      <c r="GO4" t="e">
        <f>AND(#REF!,"AAAAAD7v+8Q=")</f>
        <v>#REF!</v>
      </c>
      <c r="GP4" t="e">
        <f>AND(#REF!,"AAAAAD7v+8U=")</f>
        <v>#REF!</v>
      </c>
      <c r="GQ4" t="e">
        <f>AND(#REF!,"AAAAAD7v+8Y=")</f>
        <v>#REF!</v>
      </c>
      <c r="GR4" t="e">
        <f>AND(#REF!,"AAAAAD7v+8c=")</f>
        <v>#REF!</v>
      </c>
      <c r="GS4" t="e">
        <f>IF(#REF!,"AAAAAD7v+8g=",0)</f>
        <v>#REF!</v>
      </c>
      <c r="GT4" t="e">
        <f>AND(#REF!,"AAAAAD7v+8k=")</f>
        <v>#REF!</v>
      </c>
      <c r="GU4" t="e">
        <f>AND(#REF!,"AAAAAD7v+8o=")</f>
        <v>#REF!</v>
      </c>
      <c r="GV4" t="e">
        <f>AND(#REF!,"AAAAAD7v+8s=")</f>
        <v>#REF!</v>
      </c>
      <c r="GW4" t="e">
        <f>AND(#REF!,"AAAAAD7v+8w=")</f>
        <v>#REF!</v>
      </c>
      <c r="GX4" t="e">
        <f>AND(#REF!,"AAAAAD7v+80=")</f>
        <v>#REF!</v>
      </c>
      <c r="GY4" t="e">
        <f>AND(#REF!,"AAAAAD7v+84=")</f>
        <v>#REF!</v>
      </c>
      <c r="GZ4" t="e">
        <f>AND(#REF!,"AAAAAD7v+88=")</f>
        <v>#REF!</v>
      </c>
      <c r="HA4" t="e">
        <f>AND(#REF!,"AAAAAD7v+9A=")</f>
        <v>#REF!</v>
      </c>
      <c r="HB4" t="e">
        <f>AND(#REF!,"AAAAAD7v+9E=")</f>
        <v>#REF!</v>
      </c>
      <c r="HC4" t="e">
        <f>AND(#REF!,"AAAAAD7v+9I=")</f>
        <v>#REF!</v>
      </c>
      <c r="HD4" t="e">
        <f>AND(#REF!,"AAAAAD7v+9M=")</f>
        <v>#REF!</v>
      </c>
      <c r="HE4" t="e">
        <f>AND(#REF!,"AAAAAD7v+9Q=")</f>
        <v>#REF!</v>
      </c>
      <c r="HF4" t="e">
        <f>AND(#REF!,"AAAAAD7v+9U=")</f>
        <v>#REF!</v>
      </c>
      <c r="HG4" t="e">
        <f>AND(#REF!,"AAAAAD7v+9Y=")</f>
        <v>#REF!</v>
      </c>
      <c r="HH4" t="e">
        <f>AND(#REF!,"AAAAAD7v+9c=")</f>
        <v>#REF!</v>
      </c>
      <c r="HI4" t="e">
        <f>AND(#REF!,"AAAAAD7v+9g=")</f>
        <v>#REF!</v>
      </c>
      <c r="HJ4" t="e">
        <f>AND(#REF!,"AAAAAD7v+9k=")</f>
        <v>#REF!</v>
      </c>
      <c r="HK4" t="e">
        <f>AND(#REF!,"AAAAAD7v+9o=")</f>
        <v>#REF!</v>
      </c>
      <c r="HL4" t="e">
        <f>AND(#REF!,"AAAAAD7v+9s=")</f>
        <v>#REF!</v>
      </c>
      <c r="HM4" t="e">
        <f>AND(#REF!,"AAAAAD7v+9w=")</f>
        <v>#REF!</v>
      </c>
      <c r="HN4" t="e">
        <f>AND(#REF!,"AAAAAD7v+90=")</f>
        <v>#REF!</v>
      </c>
      <c r="HO4" t="e">
        <f>IF(#REF!,"AAAAAD7v+94=",0)</f>
        <v>#REF!</v>
      </c>
      <c r="HP4" t="e">
        <f>AND(#REF!,"AAAAAD7v+98=")</f>
        <v>#REF!</v>
      </c>
      <c r="HQ4" t="e">
        <f>AND(#REF!,"AAAAAD7v++A=")</f>
        <v>#REF!</v>
      </c>
      <c r="HR4" t="e">
        <f>AND(#REF!,"AAAAAD7v++E=")</f>
        <v>#REF!</v>
      </c>
      <c r="HS4" t="e">
        <f>AND(#REF!,"AAAAAD7v++I=")</f>
        <v>#REF!</v>
      </c>
      <c r="HT4" t="e">
        <f>AND(#REF!,"AAAAAD7v++M=")</f>
        <v>#REF!</v>
      </c>
      <c r="HU4" t="e">
        <f>AND(#REF!,"AAAAAD7v++Q=")</f>
        <v>#REF!</v>
      </c>
      <c r="HV4" t="e">
        <f>AND(#REF!,"AAAAAD7v++U=")</f>
        <v>#REF!</v>
      </c>
      <c r="HW4" t="e">
        <f>AND(#REF!,"AAAAAD7v++Y=")</f>
        <v>#REF!</v>
      </c>
      <c r="HX4" t="e">
        <f>AND(#REF!,"AAAAAD7v++c=")</f>
        <v>#REF!</v>
      </c>
      <c r="HY4" t="e">
        <f>AND(#REF!,"AAAAAD7v++g=")</f>
        <v>#REF!</v>
      </c>
      <c r="HZ4" t="e">
        <f>AND(#REF!,"AAAAAD7v++k=")</f>
        <v>#REF!</v>
      </c>
      <c r="IA4" t="e">
        <f>AND(#REF!,"AAAAAD7v++o=")</f>
        <v>#REF!</v>
      </c>
      <c r="IB4" t="e">
        <f>AND(#REF!,"AAAAAD7v++s=")</f>
        <v>#REF!</v>
      </c>
      <c r="IC4" t="e">
        <f>AND(#REF!,"AAAAAD7v++w=")</f>
        <v>#REF!</v>
      </c>
      <c r="ID4" t="e">
        <f>AND(#REF!,"AAAAAD7v++0=")</f>
        <v>#REF!</v>
      </c>
      <c r="IE4" t="e">
        <f>AND(#REF!,"AAAAAD7v++4=")</f>
        <v>#REF!</v>
      </c>
      <c r="IF4" t="e">
        <f>AND(#REF!,"AAAAAD7v++8=")</f>
        <v>#REF!</v>
      </c>
      <c r="IG4" t="e">
        <f>AND(#REF!,"AAAAAD7v+/A=")</f>
        <v>#REF!</v>
      </c>
      <c r="IH4" t="e">
        <f>AND(#REF!,"AAAAAD7v+/E=")</f>
        <v>#REF!</v>
      </c>
      <c r="II4" t="e">
        <f>AND(#REF!,"AAAAAD7v+/I=")</f>
        <v>#REF!</v>
      </c>
      <c r="IJ4" t="e">
        <f>AND(#REF!,"AAAAAD7v+/M=")</f>
        <v>#REF!</v>
      </c>
      <c r="IK4" t="e">
        <f>IF(#REF!,"AAAAAD7v+/Q=",0)</f>
        <v>#REF!</v>
      </c>
      <c r="IL4" t="e">
        <f>AND(#REF!,"AAAAAD7v+/U=")</f>
        <v>#REF!</v>
      </c>
      <c r="IM4" t="e">
        <f>AND(#REF!,"AAAAAD7v+/Y=")</f>
        <v>#REF!</v>
      </c>
      <c r="IN4" t="e">
        <f>AND(#REF!,"AAAAAD7v+/c=")</f>
        <v>#REF!</v>
      </c>
      <c r="IO4" t="e">
        <f>AND(#REF!,"AAAAAD7v+/g=")</f>
        <v>#REF!</v>
      </c>
      <c r="IP4" t="e">
        <f>AND(#REF!,"AAAAAD7v+/k=")</f>
        <v>#REF!</v>
      </c>
      <c r="IQ4" t="e">
        <f>AND(#REF!,"AAAAAD7v+/o=")</f>
        <v>#REF!</v>
      </c>
      <c r="IR4" t="e">
        <f>AND(#REF!,"AAAAAD7v+/s=")</f>
        <v>#REF!</v>
      </c>
      <c r="IS4" t="e">
        <f>AND(#REF!,"AAAAAD7v+/w=")</f>
        <v>#REF!</v>
      </c>
      <c r="IT4" t="e">
        <f>AND(#REF!,"AAAAAD7v+/0=")</f>
        <v>#REF!</v>
      </c>
      <c r="IU4" t="e">
        <f>AND(#REF!,"AAAAAD7v+/4=")</f>
        <v>#REF!</v>
      </c>
      <c r="IV4" t="e">
        <f>AND(#REF!,"AAAAAD7v+/8=")</f>
        <v>#REF!</v>
      </c>
    </row>
    <row r="5" spans="1:256">
      <c r="A5" t="e">
        <f>AND(#REF!,"AAAAAFd90wA=")</f>
        <v>#REF!</v>
      </c>
      <c r="B5" t="e">
        <f>AND(#REF!,"AAAAAFd90wE=")</f>
        <v>#REF!</v>
      </c>
      <c r="C5" t="e">
        <f>AND(#REF!,"AAAAAFd90wI=")</f>
        <v>#REF!</v>
      </c>
      <c r="D5" t="e">
        <f>AND(#REF!,"AAAAAFd90wM=")</f>
        <v>#REF!</v>
      </c>
      <c r="E5" t="e">
        <f>AND(#REF!,"AAAAAFd90wQ=")</f>
        <v>#REF!</v>
      </c>
      <c r="F5" t="e">
        <f>AND(#REF!,"AAAAAFd90wU=")</f>
        <v>#REF!</v>
      </c>
      <c r="G5" t="e">
        <f>AND(#REF!,"AAAAAFd90wY=")</f>
        <v>#REF!</v>
      </c>
      <c r="H5" t="e">
        <f>AND(#REF!,"AAAAAFd90wc=")</f>
        <v>#REF!</v>
      </c>
      <c r="I5" t="e">
        <f>AND(#REF!,"AAAAAFd90wg=")</f>
        <v>#REF!</v>
      </c>
      <c r="J5" t="e">
        <f>AND(#REF!,"AAAAAFd90wk=")</f>
        <v>#REF!</v>
      </c>
      <c r="K5" t="e">
        <f>IF(#REF!,"AAAAAFd90wo=",0)</f>
        <v>#REF!</v>
      </c>
      <c r="L5" t="e">
        <f>AND(#REF!,"AAAAAFd90ws=")</f>
        <v>#REF!</v>
      </c>
      <c r="M5" t="e">
        <f>AND(#REF!,"AAAAAFd90ww=")</f>
        <v>#REF!</v>
      </c>
      <c r="N5" t="e">
        <f>AND(#REF!,"AAAAAFd90w0=")</f>
        <v>#REF!</v>
      </c>
      <c r="O5" t="e">
        <f>AND(#REF!,"AAAAAFd90w4=")</f>
        <v>#REF!</v>
      </c>
      <c r="P5" t="e">
        <f>AND(#REF!,"AAAAAFd90w8=")</f>
        <v>#REF!</v>
      </c>
      <c r="Q5" t="e">
        <f>AND(#REF!,"AAAAAFd90xA=")</f>
        <v>#REF!</v>
      </c>
      <c r="R5" t="e">
        <f>AND(#REF!,"AAAAAFd90xE=")</f>
        <v>#REF!</v>
      </c>
      <c r="S5" t="e">
        <f>AND(#REF!,"AAAAAFd90xI=")</f>
        <v>#REF!</v>
      </c>
      <c r="T5" t="e">
        <f>AND(#REF!,"AAAAAFd90xM=")</f>
        <v>#REF!</v>
      </c>
      <c r="U5" t="e">
        <f>AND(#REF!,"AAAAAFd90xQ=")</f>
        <v>#REF!</v>
      </c>
      <c r="V5" t="e">
        <f>AND(#REF!,"AAAAAFd90xU=")</f>
        <v>#REF!</v>
      </c>
      <c r="W5" t="e">
        <f>AND(#REF!,"AAAAAFd90xY=")</f>
        <v>#REF!</v>
      </c>
      <c r="X5" t="e">
        <f>AND(#REF!,"AAAAAFd90xc=")</f>
        <v>#REF!</v>
      </c>
      <c r="Y5" t="e">
        <f>AND(#REF!,"AAAAAFd90xg=")</f>
        <v>#REF!</v>
      </c>
      <c r="Z5" t="e">
        <f>AND(#REF!,"AAAAAFd90xk=")</f>
        <v>#REF!</v>
      </c>
      <c r="AA5" t="e">
        <f>AND(#REF!,"AAAAAFd90xo=")</f>
        <v>#REF!</v>
      </c>
      <c r="AB5" t="e">
        <f>AND(#REF!,"AAAAAFd90xs=")</f>
        <v>#REF!</v>
      </c>
      <c r="AC5" t="e">
        <f>AND(#REF!,"AAAAAFd90xw=")</f>
        <v>#REF!</v>
      </c>
      <c r="AD5" t="e">
        <f>AND(#REF!,"AAAAAFd90x0=")</f>
        <v>#REF!</v>
      </c>
      <c r="AE5" t="e">
        <f>AND(#REF!,"AAAAAFd90x4=")</f>
        <v>#REF!</v>
      </c>
      <c r="AF5" t="e">
        <f>AND(#REF!,"AAAAAFd90x8=")</f>
        <v>#REF!</v>
      </c>
      <c r="AG5" t="e">
        <f>IF(#REF!,"AAAAAFd90yA=",0)</f>
        <v>#REF!</v>
      </c>
      <c r="AH5" t="e">
        <f>AND(#REF!,"AAAAAFd90yE=")</f>
        <v>#REF!</v>
      </c>
      <c r="AI5" t="e">
        <f>AND(#REF!,"AAAAAFd90yI=")</f>
        <v>#REF!</v>
      </c>
      <c r="AJ5" t="e">
        <f>AND(#REF!,"AAAAAFd90yM=")</f>
        <v>#REF!</v>
      </c>
      <c r="AK5" t="e">
        <f>AND(#REF!,"AAAAAFd90yQ=")</f>
        <v>#REF!</v>
      </c>
      <c r="AL5" t="e">
        <f>AND(#REF!,"AAAAAFd90yU=")</f>
        <v>#REF!</v>
      </c>
      <c r="AM5" t="e">
        <f>AND(#REF!,"AAAAAFd90yY=")</f>
        <v>#REF!</v>
      </c>
      <c r="AN5" t="e">
        <f>AND(#REF!,"AAAAAFd90yc=")</f>
        <v>#REF!</v>
      </c>
      <c r="AO5" t="e">
        <f>AND(#REF!,"AAAAAFd90yg=")</f>
        <v>#REF!</v>
      </c>
      <c r="AP5" t="e">
        <f>AND(#REF!,"AAAAAFd90yk=")</f>
        <v>#REF!</v>
      </c>
      <c r="AQ5" t="e">
        <f>AND(#REF!,"AAAAAFd90yo=")</f>
        <v>#REF!</v>
      </c>
      <c r="AR5" t="e">
        <f>AND(#REF!,"AAAAAFd90ys=")</f>
        <v>#REF!</v>
      </c>
      <c r="AS5" t="e">
        <f>AND(#REF!,"AAAAAFd90yw=")</f>
        <v>#REF!</v>
      </c>
      <c r="AT5" t="e">
        <f>AND(#REF!,"AAAAAFd90y0=")</f>
        <v>#REF!</v>
      </c>
      <c r="AU5" t="e">
        <f>AND(#REF!,"AAAAAFd90y4=")</f>
        <v>#REF!</v>
      </c>
      <c r="AV5" t="e">
        <f>AND(#REF!,"AAAAAFd90y8=")</f>
        <v>#REF!</v>
      </c>
      <c r="AW5" t="e">
        <f>AND(#REF!,"AAAAAFd90zA=")</f>
        <v>#REF!</v>
      </c>
      <c r="AX5" t="e">
        <f>AND(#REF!,"AAAAAFd90zE=")</f>
        <v>#REF!</v>
      </c>
      <c r="AY5" t="e">
        <f>AND(#REF!,"AAAAAFd90zI=")</f>
        <v>#REF!</v>
      </c>
      <c r="AZ5" t="e">
        <f>AND(#REF!,"AAAAAFd90zM=")</f>
        <v>#REF!</v>
      </c>
      <c r="BA5" t="e">
        <f>AND(#REF!,"AAAAAFd90zQ=")</f>
        <v>#REF!</v>
      </c>
      <c r="BB5" t="e">
        <f>AND(#REF!,"AAAAAFd90zU=")</f>
        <v>#REF!</v>
      </c>
      <c r="BC5" t="e">
        <f>IF(#REF!,"AAAAAFd90zY=",0)</f>
        <v>#REF!</v>
      </c>
      <c r="BD5" t="e">
        <f>AND(#REF!,"AAAAAFd90zc=")</f>
        <v>#REF!</v>
      </c>
      <c r="BE5" t="e">
        <f>AND(#REF!,"AAAAAFd90zg=")</f>
        <v>#REF!</v>
      </c>
      <c r="BF5" t="e">
        <f>AND(#REF!,"AAAAAFd90zk=")</f>
        <v>#REF!</v>
      </c>
      <c r="BG5" t="e">
        <f>AND(#REF!,"AAAAAFd90zo=")</f>
        <v>#REF!</v>
      </c>
      <c r="BH5" t="e">
        <f>AND(#REF!,"AAAAAFd90zs=")</f>
        <v>#REF!</v>
      </c>
      <c r="BI5" t="e">
        <f>AND(#REF!,"AAAAAFd90zw=")</f>
        <v>#REF!</v>
      </c>
      <c r="BJ5" t="e">
        <f>AND(#REF!,"AAAAAFd90z0=")</f>
        <v>#REF!</v>
      </c>
      <c r="BK5" t="e">
        <f>AND(#REF!,"AAAAAFd90z4=")</f>
        <v>#REF!</v>
      </c>
      <c r="BL5" t="e">
        <f>AND(#REF!,"AAAAAFd90z8=")</f>
        <v>#REF!</v>
      </c>
      <c r="BM5" t="e">
        <f>AND(#REF!,"AAAAAFd900A=")</f>
        <v>#REF!</v>
      </c>
      <c r="BN5" t="e">
        <f>AND(#REF!,"AAAAAFd900E=")</f>
        <v>#REF!</v>
      </c>
      <c r="BO5" t="e">
        <f>AND(#REF!,"AAAAAFd900I=")</f>
        <v>#REF!</v>
      </c>
      <c r="BP5" t="e">
        <f>AND(#REF!,"AAAAAFd900M=")</f>
        <v>#REF!</v>
      </c>
      <c r="BQ5" t="e">
        <f>AND(#REF!,"AAAAAFd900Q=")</f>
        <v>#REF!</v>
      </c>
      <c r="BR5" t="e">
        <f>AND(#REF!,"AAAAAFd900U=")</f>
        <v>#REF!</v>
      </c>
      <c r="BS5" t="e">
        <f>AND(#REF!,"AAAAAFd900Y=")</f>
        <v>#REF!</v>
      </c>
      <c r="BT5" t="e">
        <f>AND(#REF!,"AAAAAFd900c=")</f>
        <v>#REF!</v>
      </c>
      <c r="BU5" t="e">
        <f>AND(#REF!,"AAAAAFd900g=")</f>
        <v>#REF!</v>
      </c>
      <c r="BV5" t="e">
        <f>AND(#REF!,"AAAAAFd900k=")</f>
        <v>#REF!</v>
      </c>
      <c r="BW5" t="e">
        <f>AND(#REF!,"AAAAAFd900o=")</f>
        <v>#REF!</v>
      </c>
      <c r="BX5" t="e">
        <f>AND(#REF!,"AAAAAFd900s=")</f>
        <v>#REF!</v>
      </c>
      <c r="BY5" t="e">
        <f>IF(#REF!,"AAAAAFd900w=",0)</f>
        <v>#REF!</v>
      </c>
      <c r="BZ5" t="e">
        <f>AND(#REF!,"AAAAAFd9000=")</f>
        <v>#REF!</v>
      </c>
      <c r="CA5" t="e">
        <f>AND(#REF!,"AAAAAFd9004=")</f>
        <v>#REF!</v>
      </c>
      <c r="CB5" t="e">
        <f>AND(#REF!,"AAAAAFd9008=")</f>
        <v>#REF!</v>
      </c>
      <c r="CC5" t="e">
        <f>AND(#REF!,"AAAAAFd901A=")</f>
        <v>#REF!</v>
      </c>
      <c r="CD5" t="e">
        <f>AND(#REF!,"AAAAAFd901E=")</f>
        <v>#REF!</v>
      </c>
      <c r="CE5" t="e">
        <f>AND(#REF!,"AAAAAFd901I=")</f>
        <v>#REF!</v>
      </c>
      <c r="CF5" t="e">
        <f>AND(#REF!,"AAAAAFd901M=")</f>
        <v>#REF!</v>
      </c>
      <c r="CG5" t="e">
        <f>AND(#REF!,"AAAAAFd901Q=")</f>
        <v>#REF!</v>
      </c>
      <c r="CH5" t="e">
        <f>AND(#REF!,"AAAAAFd901U=")</f>
        <v>#REF!</v>
      </c>
      <c r="CI5" t="e">
        <f>AND(#REF!,"AAAAAFd901Y=")</f>
        <v>#REF!</v>
      </c>
      <c r="CJ5" t="e">
        <f>AND(#REF!,"AAAAAFd901c=")</f>
        <v>#REF!</v>
      </c>
      <c r="CK5" t="e">
        <f>AND(#REF!,"AAAAAFd901g=")</f>
        <v>#REF!</v>
      </c>
      <c r="CL5" t="e">
        <f>AND(#REF!,"AAAAAFd901k=")</f>
        <v>#REF!</v>
      </c>
      <c r="CM5" t="e">
        <f>AND(#REF!,"AAAAAFd901o=")</f>
        <v>#REF!</v>
      </c>
      <c r="CN5" t="e">
        <f>AND(#REF!,"AAAAAFd901s=")</f>
        <v>#REF!</v>
      </c>
      <c r="CO5" t="e">
        <f>AND(#REF!,"AAAAAFd901w=")</f>
        <v>#REF!</v>
      </c>
      <c r="CP5" t="e">
        <f>AND(#REF!,"AAAAAFd9010=")</f>
        <v>#REF!</v>
      </c>
      <c r="CQ5" t="e">
        <f>AND(#REF!,"AAAAAFd9014=")</f>
        <v>#REF!</v>
      </c>
      <c r="CR5" t="e">
        <f>AND(#REF!,"AAAAAFd9018=")</f>
        <v>#REF!</v>
      </c>
      <c r="CS5" t="e">
        <f>AND(#REF!,"AAAAAFd902A=")</f>
        <v>#REF!</v>
      </c>
      <c r="CT5" t="e">
        <f>AND(#REF!,"AAAAAFd902E=")</f>
        <v>#REF!</v>
      </c>
      <c r="CU5" t="e">
        <f>IF(#REF!,"AAAAAFd902I=",0)</f>
        <v>#REF!</v>
      </c>
      <c r="CV5" t="e">
        <f>AND(#REF!,"AAAAAFd902M=")</f>
        <v>#REF!</v>
      </c>
      <c r="CW5" t="e">
        <f>AND(#REF!,"AAAAAFd902Q=")</f>
        <v>#REF!</v>
      </c>
      <c r="CX5" t="e">
        <f>AND(#REF!,"AAAAAFd902U=")</f>
        <v>#REF!</v>
      </c>
      <c r="CY5" t="e">
        <f>AND(#REF!,"AAAAAFd902Y=")</f>
        <v>#REF!</v>
      </c>
      <c r="CZ5" t="e">
        <f>AND(#REF!,"AAAAAFd902c=")</f>
        <v>#REF!</v>
      </c>
      <c r="DA5" t="e">
        <f>AND(#REF!,"AAAAAFd902g=")</f>
        <v>#REF!</v>
      </c>
      <c r="DB5" t="e">
        <f>AND(#REF!,"AAAAAFd902k=")</f>
        <v>#REF!</v>
      </c>
      <c r="DC5" t="e">
        <f>AND(#REF!,"AAAAAFd902o=")</f>
        <v>#REF!</v>
      </c>
      <c r="DD5" t="e">
        <f>AND(#REF!,"AAAAAFd902s=")</f>
        <v>#REF!</v>
      </c>
      <c r="DE5" t="e">
        <f>AND(#REF!,"AAAAAFd902w=")</f>
        <v>#REF!</v>
      </c>
      <c r="DF5" t="e">
        <f>AND(#REF!,"AAAAAFd9020=")</f>
        <v>#REF!</v>
      </c>
      <c r="DG5" t="e">
        <f>AND(#REF!,"AAAAAFd9024=")</f>
        <v>#REF!</v>
      </c>
      <c r="DH5" t="e">
        <f>AND(#REF!,"AAAAAFd9028=")</f>
        <v>#REF!</v>
      </c>
      <c r="DI5" t="e">
        <f>AND(#REF!,"AAAAAFd903A=")</f>
        <v>#REF!</v>
      </c>
      <c r="DJ5" t="e">
        <f>AND(#REF!,"AAAAAFd903E=")</f>
        <v>#REF!</v>
      </c>
      <c r="DK5" t="e">
        <f>AND(#REF!,"AAAAAFd903I=")</f>
        <v>#REF!</v>
      </c>
      <c r="DL5" t="e">
        <f>AND(#REF!,"AAAAAFd903M=")</f>
        <v>#REF!</v>
      </c>
      <c r="DM5" t="e">
        <f>AND(#REF!,"AAAAAFd903Q=")</f>
        <v>#REF!</v>
      </c>
      <c r="DN5" t="e">
        <f>AND(#REF!,"AAAAAFd903U=")</f>
        <v>#REF!</v>
      </c>
      <c r="DO5" t="e">
        <f>AND(#REF!,"AAAAAFd903Y=")</f>
        <v>#REF!</v>
      </c>
      <c r="DP5" t="e">
        <f>AND(#REF!,"AAAAAFd903c=")</f>
        <v>#REF!</v>
      </c>
      <c r="DQ5" t="e">
        <f>IF(#REF!,"AAAAAFd903g=",0)</f>
        <v>#REF!</v>
      </c>
      <c r="DR5" t="e">
        <f>AND(#REF!,"AAAAAFd903k=")</f>
        <v>#REF!</v>
      </c>
      <c r="DS5" t="e">
        <f>AND(#REF!,"AAAAAFd903o=")</f>
        <v>#REF!</v>
      </c>
      <c r="DT5" t="e">
        <f>AND(#REF!,"AAAAAFd903s=")</f>
        <v>#REF!</v>
      </c>
      <c r="DU5" t="e">
        <f>AND(#REF!,"AAAAAFd903w=")</f>
        <v>#REF!</v>
      </c>
      <c r="DV5" t="e">
        <f>AND(#REF!,"AAAAAFd9030=")</f>
        <v>#REF!</v>
      </c>
      <c r="DW5" t="e">
        <f>AND(#REF!,"AAAAAFd9034=")</f>
        <v>#REF!</v>
      </c>
      <c r="DX5" t="e">
        <f>AND(#REF!,"AAAAAFd9038=")</f>
        <v>#REF!</v>
      </c>
      <c r="DY5" t="e">
        <f>AND(#REF!,"AAAAAFd904A=")</f>
        <v>#REF!</v>
      </c>
      <c r="DZ5" t="e">
        <f>AND(#REF!,"AAAAAFd904E=")</f>
        <v>#REF!</v>
      </c>
      <c r="EA5" t="e">
        <f>AND(#REF!,"AAAAAFd904I=")</f>
        <v>#REF!</v>
      </c>
      <c r="EB5" t="e">
        <f>AND(#REF!,"AAAAAFd904M=")</f>
        <v>#REF!</v>
      </c>
      <c r="EC5" t="e">
        <f>AND(#REF!,"AAAAAFd904Q=")</f>
        <v>#REF!</v>
      </c>
      <c r="ED5" t="e">
        <f>AND(#REF!,"AAAAAFd904U=")</f>
        <v>#REF!</v>
      </c>
      <c r="EE5" t="e">
        <f>AND(#REF!,"AAAAAFd904Y=")</f>
        <v>#REF!</v>
      </c>
      <c r="EF5" t="e">
        <f>AND(#REF!,"AAAAAFd904c=")</f>
        <v>#REF!</v>
      </c>
      <c r="EG5" t="e">
        <f>AND(#REF!,"AAAAAFd904g=")</f>
        <v>#REF!</v>
      </c>
      <c r="EH5" t="e">
        <f>AND(#REF!,"AAAAAFd904k=")</f>
        <v>#REF!</v>
      </c>
      <c r="EI5" t="e">
        <f>AND(#REF!,"AAAAAFd904o=")</f>
        <v>#REF!</v>
      </c>
      <c r="EJ5" t="e">
        <f>AND(#REF!,"AAAAAFd904s=")</f>
        <v>#REF!</v>
      </c>
      <c r="EK5" t="e">
        <f>AND(#REF!,"AAAAAFd904w=")</f>
        <v>#REF!</v>
      </c>
      <c r="EL5" t="e">
        <f>AND(#REF!,"AAAAAFd9040=")</f>
        <v>#REF!</v>
      </c>
      <c r="EM5" t="e">
        <f>IF(#REF!,"AAAAAFd9044=",0)</f>
        <v>#REF!</v>
      </c>
      <c r="EN5" t="e">
        <f>AND(#REF!,"AAAAAFd9048=")</f>
        <v>#REF!</v>
      </c>
      <c r="EO5" t="e">
        <f>AND(#REF!,"AAAAAFd905A=")</f>
        <v>#REF!</v>
      </c>
      <c r="EP5" t="e">
        <f>AND(#REF!,"AAAAAFd905E=")</f>
        <v>#REF!</v>
      </c>
      <c r="EQ5" t="e">
        <f>AND(#REF!,"AAAAAFd905I=")</f>
        <v>#REF!</v>
      </c>
      <c r="ER5" t="e">
        <f>AND(#REF!,"AAAAAFd905M=")</f>
        <v>#REF!</v>
      </c>
      <c r="ES5" t="e">
        <f>AND(#REF!,"AAAAAFd905Q=")</f>
        <v>#REF!</v>
      </c>
      <c r="ET5" t="e">
        <f>AND(#REF!,"AAAAAFd905U=")</f>
        <v>#REF!</v>
      </c>
      <c r="EU5" t="e">
        <f>AND(#REF!,"AAAAAFd905Y=")</f>
        <v>#REF!</v>
      </c>
      <c r="EV5" t="e">
        <f>AND(#REF!,"AAAAAFd905c=")</f>
        <v>#REF!</v>
      </c>
      <c r="EW5" t="e">
        <f>AND(#REF!,"AAAAAFd905g=")</f>
        <v>#REF!</v>
      </c>
      <c r="EX5" t="e">
        <f>AND(#REF!,"AAAAAFd905k=")</f>
        <v>#REF!</v>
      </c>
      <c r="EY5" t="e">
        <f>AND(#REF!,"AAAAAFd905o=")</f>
        <v>#REF!</v>
      </c>
      <c r="EZ5" t="e">
        <f>AND(#REF!,"AAAAAFd905s=")</f>
        <v>#REF!</v>
      </c>
      <c r="FA5" t="e">
        <f>AND(#REF!,"AAAAAFd905w=")</f>
        <v>#REF!</v>
      </c>
      <c r="FB5" t="e">
        <f>AND(#REF!,"AAAAAFd9050=")</f>
        <v>#REF!</v>
      </c>
      <c r="FC5" t="e">
        <f>AND(#REF!,"AAAAAFd9054=")</f>
        <v>#REF!</v>
      </c>
      <c r="FD5" t="e">
        <f>AND(#REF!,"AAAAAFd9058=")</f>
        <v>#REF!</v>
      </c>
      <c r="FE5" t="e">
        <f>AND(#REF!,"AAAAAFd906A=")</f>
        <v>#REF!</v>
      </c>
      <c r="FF5" t="e">
        <f>AND(#REF!,"AAAAAFd906E=")</f>
        <v>#REF!</v>
      </c>
      <c r="FG5" t="e">
        <f>AND(#REF!,"AAAAAFd906I=")</f>
        <v>#REF!</v>
      </c>
      <c r="FH5" t="e">
        <f>AND(#REF!,"AAAAAFd906M=")</f>
        <v>#REF!</v>
      </c>
      <c r="FI5" t="e">
        <f>IF(#REF!,"AAAAAFd906Q=",0)</f>
        <v>#REF!</v>
      </c>
      <c r="FJ5" t="e">
        <f>AND(#REF!,"AAAAAFd906U=")</f>
        <v>#REF!</v>
      </c>
      <c r="FK5" t="e">
        <f>AND(#REF!,"AAAAAFd906Y=")</f>
        <v>#REF!</v>
      </c>
      <c r="FL5" t="e">
        <f>AND(#REF!,"AAAAAFd906c=")</f>
        <v>#REF!</v>
      </c>
      <c r="FM5" t="e">
        <f>AND(#REF!,"AAAAAFd906g=")</f>
        <v>#REF!</v>
      </c>
      <c r="FN5" t="e">
        <f>AND(#REF!,"AAAAAFd906k=")</f>
        <v>#REF!</v>
      </c>
      <c r="FO5" t="e">
        <f>AND(#REF!,"AAAAAFd906o=")</f>
        <v>#REF!</v>
      </c>
      <c r="FP5" t="e">
        <f>AND(#REF!,"AAAAAFd906s=")</f>
        <v>#REF!</v>
      </c>
      <c r="FQ5" t="e">
        <f>AND(#REF!,"AAAAAFd906w=")</f>
        <v>#REF!</v>
      </c>
      <c r="FR5" t="e">
        <f>AND(#REF!,"AAAAAFd9060=")</f>
        <v>#REF!</v>
      </c>
      <c r="FS5" t="e">
        <f>AND(#REF!,"AAAAAFd9064=")</f>
        <v>#REF!</v>
      </c>
      <c r="FT5" t="e">
        <f>AND(#REF!,"AAAAAFd9068=")</f>
        <v>#REF!</v>
      </c>
      <c r="FU5" t="e">
        <f>AND(#REF!,"AAAAAFd907A=")</f>
        <v>#REF!</v>
      </c>
      <c r="FV5" t="e">
        <f>AND(#REF!,"AAAAAFd907E=")</f>
        <v>#REF!</v>
      </c>
      <c r="FW5" t="e">
        <f>AND(#REF!,"AAAAAFd907I=")</f>
        <v>#REF!</v>
      </c>
      <c r="FX5" t="e">
        <f>AND(#REF!,"AAAAAFd907M=")</f>
        <v>#REF!</v>
      </c>
      <c r="FY5" t="e">
        <f>AND(#REF!,"AAAAAFd907Q=")</f>
        <v>#REF!</v>
      </c>
      <c r="FZ5" t="e">
        <f>AND(#REF!,"AAAAAFd907U=")</f>
        <v>#REF!</v>
      </c>
      <c r="GA5" t="e">
        <f>AND(#REF!,"AAAAAFd907Y=")</f>
        <v>#REF!</v>
      </c>
      <c r="GB5" t="e">
        <f>AND(#REF!,"AAAAAFd907c=")</f>
        <v>#REF!</v>
      </c>
      <c r="GC5" t="e">
        <f>AND(#REF!,"AAAAAFd907g=")</f>
        <v>#REF!</v>
      </c>
      <c r="GD5" t="e">
        <f>AND(#REF!,"AAAAAFd907k=")</f>
        <v>#REF!</v>
      </c>
      <c r="GE5" t="e">
        <f>IF(#REF!,"AAAAAFd907o=",0)</f>
        <v>#REF!</v>
      </c>
      <c r="GF5" t="e">
        <f>AND(#REF!,"AAAAAFd907s=")</f>
        <v>#REF!</v>
      </c>
      <c r="GG5" t="e">
        <f>AND(#REF!,"AAAAAFd907w=")</f>
        <v>#REF!</v>
      </c>
      <c r="GH5" t="e">
        <f>AND(#REF!,"AAAAAFd9070=")</f>
        <v>#REF!</v>
      </c>
      <c r="GI5" t="e">
        <f>AND(#REF!,"AAAAAFd9074=")</f>
        <v>#REF!</v>
      </c>
      <c r="GJ5" t="e">
        <f>AND(#REF!,"AAAAAFd9078=")</f>
        <v>#REF!</v>
      </c>
      <c r="GK5" t="e">
        <f>AND(#REF!,"AAAAAFd908A=")</f>
        <v>#REF!</v>
      </c>
      <c r="GL5" t="e">
        <f>AND(#REF!,"AAAAAFd908E=")</f>
        <v>#REF!</v>
      </c>
      <c r="GM5" t="e">
        <f>AND(#REF!,"AAAAAFd908I=")</f>
        <v>#REF!</v>
      </c>
      <c r="GN5" t="e">
        <f>AND(#REF!,"AAAAAFd908M=")</f>
        <v>#REF!</v>
      </c>
      <c r="GO5" t="e">
        <f>AND(#REF!,"AAAAAFd908Q=")</f>
        <v>#REF!</v>
      </c>
      <c r="GP5" t="e">
        <f>AND(#REF!,"AAAAAFd908U=")</f>
        <v>#REF!</v>
      </c>
      <c r="GQ5" t="e">
        <f>AND(#REF!,"AAAAAFd908Y=")</f>
        <v>#REF!</v>
      </c>
      <c r="GR5" t="e">
        <f>AND(#REF!,"AAAAAFd908c=")</f>
        <v>#REF!</v>
      </c>
      <c r="GS5" t="e">
        <f>AND(#REF!,"AAAAAFd908g=")</f>
        <v>#REF!</v>
      </c>
      <c r="GT5" t="e">
        <f>AND(#REF!,"AAAAAFd908k=")</f>
        <v>#REF!</v>
      </c>
      <c r="GU5" t="e">
        <f>AND(#REF!,"AAAAAFd908o=")</f>
        <v>#REF!</v>
      </c>
      <c r="GV5" t="e">
        <f>AND(#REF!,"AAAAAFd908s=")</f>
        <v>#REF!</v>
      </c>
      <c r="GW5" t="e">
        <f>AND(#REF!,"AAAAAFd908w=")</f>
        <v>#REF!</v>
      </c>
      <c r="GX5" t="e">
        <f>AND(#REF!,"AAAAAFd9080=")</f>
        <v>#REF!</v>
      </c>
      <c r="GY5" t="e">
        <f>AND(#REF!,"AAAAAFd9084=")</f>
        <v>#REF!</v>
      </c>
      <c r="GZ5" t="e">
        <f>AND(#REF!,"AAAAAFd9088=")</f>
        <v>#REF!</v>
      </c>
      <c r="HA5" t="e">
        <f>IF(#REF!,"AAAAAFd909A=",0)</f>
        <v>#REF!</v>
      </c>
      <c r="HB5" t="e">
        <f>AND(#REF!,"AAAAAFd909E=")</f>
        <v>#REF!</v>
      </c>
      <c r="HC5" t="e">
        <f>AND(#REF!,"AAAAAFd909I=")</f>
        <v>#REF!</v>
      </c>
      <c r="HD5" t="e">
        <f>AND(#REF!,"AAAAAFd909M=")</f>
        <v>#REF!</v>
      </c>
      <c r="HE5" t="e">
        <f>AND(#REF!,"AAAAAFd909Q=")</f>
        <v>#REF!</v>
      </c>
      <c r="HF5" t="e">
        <f>AND(#REF!,"AAAAAFd909U=")</f>
        <v>#REF!</v>
      </c>
      <c r="HG5" t="e">
        <f>AND(#REF!,"AAAAAFd909Y=")</f>
        <v>#REF!</v>
      </c>
      <c r="HH5" t="e">
        <f>AND(#REF!,"AAAAAFd909c=")</f>
        <v>#REF!</v>
      </c>
      <c r="HI5" t="e">
        <f>AND(#REF!,"AAAAAFd909g=")</f>
        <v>#REF!</v>
      </c>
      <c r="HJ5" t="e">
        <f>AND(#REF!,"AAAAAFd909k=")</f>
        <v>#REF!</v>
      </c>
      <c r="HK5" t="e">
        <f>AND(#REF!,"AAAAAFd909o=")</f>
        <v>#REF!</v>
      </c>
      <c r="HL5" t="e">
        <f>AND(#REF!,"AAAAAFd909s=")</f>
        <v>#REF!</v>
      </c>
      <c r="HM5" t="e">
        <f>AND(#REF!,"AAAAAFd909w=")</f>
        <v>#REF!</v>
      </c>
      <c r="HN5" t="e">
        <f>AND(#REF!,"AAAAAFd9090=")</f>
        <v>#REF!</v>
      </c>
      <c r="HO5" t="e">
        <f>AND(#REF!,"AAAAAFd9094=")</f>
        <v>#REF!</v>
      </c>
      <c r="HP5" t="e">
        <f>AND(#REF!,"AAAAAFd9098=")</f>
        <v>#REF!</v>
      </c>
      <c r="HQ5" t="e">
        <f>AND(#REF!,"AAAAAFd90+A=")</f>
        <v>#REF!</v>
      </c>
      <c r="HR5" t="e">
        <f>AND(#REF!,"AAAAAFd90+E=")</f>
        <v>#REF!</v>
      </c>
      <c r="HS5" t="e">
        <f>AND(#REF!,"AAAAAFd90+I=")</f>
        <v>#REF!</v>
      </c>
      <c r="HT5" t="e">
        <f>AND(#REF!,"AAAAAFd90+M=")</f>
        <v>#REF!</v>
      </c>
      <c r="HU5" t="e">
        <f>AND(#REF!,"AAAAAFd90+Q=")</f>
        <v>#REF!</v>
      </c>
      <c r="HV5" t="e">
        <f>AND(#REF!,"AAAAAFd90+U=")</f>
        <v>#REF!</v>
      </c>
      <c r="HW5" t="e">
        <f>IF(#REF!,"AAAAAFd90+Y=",0)</f>
        <v>#REF!</v>
      </c>
      <c r="HX5" t="e">
        <f>AND(#REF!,"AAAAAFd90+c=")</f>
        <v>#REF!</v>
      </c>
      <c r="HY5" t="e">
        <f>AND(#REF!,"AAAAAFd90+g=")</f>
        <v>#REF!</v>
      </c>
      <c r="HZ5" t="e">
        <f>AND(#REF!,"AAAAAFd90+k=")</f>
        <v>#REF!</v>
      </c>
      <c r="IA5" t="e">
        <f>AND(#REF!,"AAAAAFd90+o=")</f>
        <v>#REF!</v>
      </c>
      <c r="IB5" t="e">
        <f>AND(#REF!,"AAAAAFd90+s=")</f>
        <v>#REF!</v>
      </c>
      <c r="IC5" t="e">
        <f>AND(#REF!,"AAAAAFd90+w=")</f>
        <v>#REF!</v>
      </c>
      <c r="ID5" t="e">
        <f>AND(#REF!,"AAAAAFd90+0=")</f>
        <v>#REF!</v>
      </c>
      <c r="IE5" t="e">
        <f>AND(#REF!,"AAAAAFd90+4=")</f>
        <v>#REF!</v>
      </c>
      <c r="IF5" t="e">
        <f>AND(#REF!,"AAAAAFd90+8=")</f>
        <v>#REF!</v>
      </c>
      <c r="IG5" t="e">
        <f>AND(#REF!,"AAAAAFd90/A=")</f>
        <v>#REF!</v>
      </c>
      <c r="IH5" t="e">
        <f>AND(#REF!,"AAAAAFd90/E=")</f>
        <v>#REF!</v>
      </c>
      <c r="II5" t="e">
        <f>AND(#REF!,"AAAAAFd90/I=")</f>
        <v>#REF!</v>
      </c>
      <c r="IJ5" t="e">
        <f>AND(#REF!,"AAAAAFd90/M=")</f>
        <v>#REF!</v>
      </c>
      <c r="IK5" t="e">
        <f>AND(#REF!,"AAAAAFd90/Q=")</f>
        <v>#REF!</v>
      </c>
      <c r="IL5" t="e">
        <f>AND(#REF!,"AAAAAFd90/U=")</f>
        <v>#REF!</v>
      </c>
      <c r="IM5" t="e">
        <f>AND(#REF!,"AAAAAFd90/Y=")</f>
        <v>#REF!</v>
      </c>
      <c r="IN5" t="e">
        <f>AND(#REF!,"AAAAAFd90/c=")</f>
        <v>#REF!</v>
      </c>
      <c r="IO5" t="e">
        <f>AND(#REF!,"AAAAAFd90/g=")</f>
        <v>#REF!</v>
      </c>
      <c r="IP5" t="e">
        <f>AND(#REF!,"AAAAAFd90/k=")</f>
        <v>#REF!</v>
      </c>
      <c r="IQ5" t="e">
        <f>AND(#REF!,"AAAAAFd90/o=")</f>
        <v>#REF!</v>
      </c>
      <c r="IR5" t="e">
        <f>AND(#REF!,"AAAAAFd90/s=")</f>
        <v>#REF!</v>
      </c>
      <c r="IS5" t="e">
        <f>IF(#REF!,"AAAAAFd90/w=",0)</f>
        <v>#REF!</v>
      </c>
      <c r="IT5" t="e">
        <f>AND(#REF!,"AAAAAFd90/0=")</f>
        <v>#REF!</v>
      </c>
      <c r="IU5" t="e">
        <f>AND(#REF!,"AAAAAFd90/4=")</f>
        <v>#REF!</v>
      </c>
      <c r="IV5" t="e">
        <f>AND(#REF!,"AAAAAFd90/8=")</f>
        <v>#REF!</v>
      </c>
    </row>
    <row r="6" spans="1:256">
      <c r="A6" t="e">
        <f>AND(#REF!,"AAAAADk9eQA=")</f>
        <v>#REF!</v>
      </c>
      <c r="B6" t="e">
        <f>AND(#REF!,"AAAAADk9eQE=")</f>
        <v>#REF!</v>
      </c>
      <c r="C6" t="e">
        <f>AND(#REF!,"AAAAADk9eQI=")</f>
        <v>#REF!</v>
      </c>
      <c r="D6" t="e">
        <f>AND(#REF!,"AAAAADk9eQM=")</f>
        <v>#REF!</v>
      </c>
      <c r="E6" t="e">
        <f>AND(#REF!,"AAAAADk9eQQ=")</f>
        <v>#REF!</v>
      </c>
      <c r="F6" t="e">
        <f>AND(#REF!,"AAAAADk9eQU=")</f>
        <v>#REF!</v>
      </c>
      <c r="G6" t="e">
        <f>AND(#REF!,"AAAAADk9eQY=")</f>
        <v>#REF!</v>
      </c>
      <c r="H6" t="e">
        <f>AND(#REF!,"AAAAADk9eQc=")</f>
        <v>#REF!</v>
      </c>
      <c r="I6" t="e">
        <f>AND(#REF!,"AAAAADk9eQg=")</f>
        <v>#REF!</v>
      </c>
      <c r="J6" t="e">
        <f>AND(#REF!,"AAAAADk9eQk=")</f>
        <v>#REF!</v>
      </c>
      <c r="K6" t="e">
        <f>AND(#REF!,"AAAAADk9eQo=")</f>
        <v>#REF!</v>
      </c>
      <c r="L6" t="e">
        <f>AND(#REF!,"AAAAADk9eQs=")</f>
        <v>#REF!</v>
      </c>
      <c r="M6" t="e">
        <f>AND(#REF!,"AAAAADk9eQw=")</f>
        <v>#REF!</v>
      </c>
      <c r="N6" t="e">
        <f>AND(#REF!,"AAAAADk9eQ0=")</f>
        <v>#REF!</v>
      </c>
      <c r="O6" t="e">
        <f>AND(#REF!,"AAAAADk9eQ4=")</f>
        <v>#REF!</v>
      </c>
      <c r="P6" t="e">
        <f>AND(#REF!,"AAAAADk9eQ8=")</f>
        <v>#REF!</v>
      </c>
      <c r="Q6" t="e">
        <f>AND(#REF!,"AAAAADk9eRA=")</f>
        <v>#REF!</v>
      </c>
      <c r="R6" t="e">
        <f>AND(#REF!,"AAAAADk9eRE=")</f>
        <v>#REF!</v>
      </c>
      <c r="S6" t="e">
        <f>IF(#REF!,"AAAAADk9eRI=",0)</f>
        <v>#REF!</v>
      </c>
      <c r="T6" t="e">
        <f>AND(#REF!,"AAAAADk9eRM=")</f>
        <v>#REF!</v>
      </c>
      <c r="U6" t="e">
        <f>AND(#REF!,"AAAAADk9eRQ=")</f>
        <v>#REF!</v>
      </c>
      <c r="V6" t="e">
        <f>AND(#REF!,"AAAAADk9eRU=")</f>
        <v>#REF!</v>
      </c>
      <c r="W6" t="e">
        <f>AND(#REF!,"AAAAADk9eRY=")</f>
        <v>#REF!</v>
      </c>
      <c r="X6" t="e">
        <f>AND(#REF!,"AAAAADk9eRc=")</f>
        <v>#REF!</v>
      </c>
      <c r="Y6" t="e">
        <f>AND(#REF!,"AAAAADk9eRg=")</f>
        <v>#REF!</v>
      </c>
      <c r="Z6" t="e">
        <f>AND(#REF!,"AAAAADk9eRk=")</f>
        <v>#REF!</v>
      </c>
      <c r="AA6" t="e">
        <f>AND(#REF!,"AAAAADk9eRo=")</f>
        <v>#REF!</v>
      </c>
      <c r="AB6" t="e">
        <f>AND(#REF!,"AAAAADk9eRs=")</f>
        <v>#REF!</v>
      </c>
      <c r="AC6" t="e">
        <f>AND(#REF!,"AAAAADk9eRw=")</f>
        <v>#REF!</v>
      </c>
      <c r="AD6" t="e">
        <f>AND(#REF!,"AAAAADk9eR0=")</f>
        <v>#REF!</v>
      </c>
      <c r="AE6" t="e">
        <f>AND(#REF!,"AAAAADk9eR4=")</f>
        <v>#REF!</v>
      </c>
      <c r="AF6" t="e">
        <f>AND(#REF!,"AAAAADk9eR8=")</f>
        <v>#REF!</v>
      </c>
      <c r="AG6" t="e">
        <f>AND(#REF!,"AAAAADk9eSA=")</f>
        <v>#REF!</v>
      </c>
      <c r="AH6" t="e">
        <f>AND(#REF!,"AAAAADk9eSE=")</f>
        <v>#REF!</v>
      </c>
      <c r="AI6" t="e">
        <f>AND(#REF!,"AAAAADk9eSI=")</f>
        <v>#REF!</v>
      </c>
      <c r="AJ6" t="e">
        <f>AND(#REF!,"AAAAADk9eSM=")</f>
        <v>#REF!</v>
      </c>
      <c r="AK6" t="e">
        <f>AND(#REF!,"AAAAADk9eSQ=")</f>
        <v>#REF!</v>
      </c>
      <c r="AL6" t="e">
        <f>AND(#REF!,"AAAAADk9eSU=")</f>
        <v>#REF!</v>
      </c>
      <c r="AM6" t="e">
        <f>AND(#REF!,"AAAAADk9eSY=")</f>
        <v>#REF!</v>
      </c>
      <c r="AN6" t="e">
        <f>AND(#REF!,"AAAAADk9eSc=")</f>
        <v>#REF!</v>
      </c>
      <c r="AO6" t="e">
        <f>IF(#REF!,"AAAAADk9eSg=",0)</f>
        <v>#REF!</v>
      </c>
      <c r="AP6" t="e">
        <f>AND(#REF!,"AAAAADk9eSk=")</f>
        <v>#REF!</v>
      </c>
      <c r="AQ6" t="e">
        <f>AND(#REF!,"AAAAADk9eSo=")</f>
        <v>#REF!</v>
      </c>
      <c r="AR6" t="e">
        <f>AND(#REF!,"AAAAADk9eSs=")</f>
        <v>#REF!</v>
      </c>
      <c r="AS6" t="e">
        <f>AND(#REF!,"AAAAADk9eSw=")</f>
        <v>#REF!</v>
      </c>
      <c r="AT6" t="e">
        <f>AND(#REF!,"AAAAADk9eS0=")</f>
        <v>#REF!</v>
      </c>
      <c r="AU6" t="e">
        <f>AND(#REF!,"AAAAADk9eS4=")</f>
        <v>#REF!</v>
      </c>
      <c r="AV6" t="e">
        <f>AND(#REF!,"AAAAADk9eS8=")</f>
        <v>#REF!</v>
      </c>
      <c r="AW6" t="e">
        <f>AND(#REF!,"AAAAADk9eTA=")</f>
        <v>#REF!</v>
      </c>
      <c r="AX6" t="e">
        <f>AND(#REF!,"AAAAADk9eTE=")</f>
        <v>#REF!</v>
      </c>
      <c r="AY6" t="e">
        <f>AND(#REF!,"AAAAADk9eTI=")</f>
        <v>#REF!</v>
      </c>
      <c r="AZ6" t="e">
        <f>AND(#REF!,"AAAAADk9eTM=")</f>
        <v>#REF!</v>
      </c>
      <c r="BA6" t="e">
        <f>AND(#REF!,"AAAAADk9eTQ=")</f>
        <v>#REF!</v>
      </c>
      <c r="BB6" t="e">
        <f>AND(#REF!,"AAAAADk9eTU=")</f>
        <v>#REF!</v>
      </c>
      <c r="BC6" t="e">
        <f>AND(#REF!,"AAAAADk9eTY=")</f>
        <v>#REF!</v>
      </c>
      <c r="BD6" t="e">
        <f>AND(#REF!,"AAAAADk9eTc=")</f>
        <v>#REF!</v>
      </c>
      <c r="BE6" t="e">
        <f>AND(#REF!,"AAAAADk9eTg=")</f>
        <v>#REF!</v>
      </c>
      <c r="BF6" t="e">
        <f>AND(#REF!,"AAAAADk9eTk=")</f>
        <v>#REF!</v>
      </c>
      <c r="BG6" t="e">
        <f>AND(#REF!,"AAAAADk9eTo=")</f>
        <v>#REF!</v>
      </c>
      <c r="BH6" t="e">
        <f>AND(#REF!,"AAAAADk9eTs=")</f>
        <v>#REF!</v>
      </c>
      <c r="BI6" t="e">
        <f>AND(#REF!,"AAAAADk9eTw=")</f>
        <v>#REF!</v>
      </c>
      <c r="BJ6" t="e">
        <f>AND(#REF!,"AAAAADk9eT0=")</f>
        <v>#REF!</v>
      </c>
      <c r="BK6" t="e">
        <f>IF(#REF!,"AAAAADk9eT4=",0)</f>
        <v>#REF!</v>
      </c>
      <c r="BL6" t="e">
        <f>AND(#REF!,"AAAAADk9eT8=")</f>
        <v>#REF!</v>
      </c>
      <c r="BM6" t="e">
        <f>AND(#REF!,"AAAAADk9eUA=")</f>
        <v>#REF!</v>
      </c>
      <c r="BN6" t="e">
        <f>AND(#REF!,"AAAAADk9eUE=")</f>
        <v>#REF!</v>
      </c>
      <c r="BO6" t="e">
        <f>AND(#REF!,"AAAAADk9eUI=")</f>
        <v>#REF!</v>
      </c>
      <c r="BP6" t="e">
        <f>AND(#REF!,"AAAAADk9eUM=")</f>
        <v>#REF!</v>
      </c>
      <c r="BQ6" t="e">
        <f>AND(#REF!,"AAAAADk9eUQ=")</f>
        <v>#REF!</v>
      </c>
      <c r="BR6" t="e">
        <f>AND(#REF!,"AAAAADk9eUU=")</f>
        <v>#REF!</v>
      </c>
      <c r="BS6" t="e">
        <f>AND(#REF!,"AAAAADk9eUY=")</f>
        <v>#REF!</v>
      </c>
      <c r="BT6" t="e">
        <f>AND(#REF!,"AAAAADk9eUc=")</f>
        <v>#REF!</v>
      </c>
      <c r="BU6" t="e">
        <f>AND(#REF!,"AAAAADk9eUg=")</f>
        <v>#REF!</v>
      </c>
      <c r="BV6" t="e">
        <f>AND(#REF!,"AAAAADk9eUk=")</f>
        <v>#REF!</v>
      </c>
      <c r="BW6" t="e">
        <f>AND(#REF!,"AAAAADk9eUo=")</f>
        <v>#REF!</v>
      </c>
      <c r="BX6" t="e">
        <f>AND(#REF!,"AAAAADk9eUs=")</f>
        <v>#REF!</v>
      </c>
      <c r="BY6" t="e">
        <f>AND(#REF!,"AAAAADk9eUw=")</f>
        <v>#REF!</v>
      </c>
      <c r="BZ6" t="e">
        <f>AND(#REF!,"AAAAADk9eU0=")</f>
        <v>#REF!</v>
      </c>
      <c r="CA6" t="e">
        <f>AND(#REF!,"AAAAADk9eU4=")</f>
        <v>#REF!</v>
      </c>
      <c r="CB6" t="e">
        <f>AND(#REF!,"AAAAADk9eU8=")</f>
        <v>#REF!</v>
      </c>
      <c r="CC6" t="e">
        <f>AND(#REF!,"AAAAADk9eVA=")</f>
        <v>#REF!</v>
      </c>
      <c r="CD6" t="e">
        <f>AND(#REF!,"AAAAADk9eVE=")</f>
        <v>#REF!</v>
      </c>
      <c r="CE6" t="e">
        <f>AND(#REF!,"AAAAADk9eVI=")</f>
        <v>#REF!</v>
      </c>
      <c r="CF6" t="e">
        <f>AND(#REF!,"AAAAADk9eVM=")</f>
        <v>#REF!</v>
      </c>
      <c r="CG6" t="e">
        <f>IF(#REF!,"AAAAADk9eVQ=",0)</f>
        <v>#REF!</v>
      </c>
      <c r="CH6" t="e">
        <f>AND(#REF!,"AAAAADk9eVU=")</f>
        <v>#REF!</v>
      </c>
      <c r="CI6" t="e">
        <f>AND(#REF!,"AAAAADk9eVY=")</f>
        <v>#REF!</v>
      </c>
      <c r="CJ6" t="e">
        <f>AND(#REF!,"AAAAADk9eVc=")</f>
        <v>#REF!</v>
      </c>
      <c r="CK6" t="e">
        <f>AND(#REF!,"AAAAADk9eVg=")</f>
        <v>#REF!</v>
      </c>
      <c r="CL6" t="e">
        <f>AND(#REF!,"AAAAADk9eVk=")</f>
        <v>#REF!</v>
      </c>
      <c r="CM6" t="e">
        <f>AND(#REF!,"AAAAADk9eVo=")</f>
        <v>#REF!</v>
      </c>
      <c r="CN6" t="e">
        <f>AND(#REF!,"AAAAADk9eVs=")</f>
        <v>#REF!</v>
      </c>
      <c r="CO6" t="e">
        <f>AND(#REF!,"AAAAADk9eVw=")</f>
        <v>#REF!</v>
      </c>
      <c r="CP6" t="e">
        <f>AND(#REF!,"AAAAADk9eV0=")</f>
        <v>#REF!</v>
      </c>
      <c r="CQ6" t="e">
        <f>AND(#REF!,"AAAAADk9eV4=")</f>
        <v>#REF!</v>
      </c>
      <c r="CR6" t="e">
        <f>AND(#REF!,"AAAAADk9eV8=")</f>
        <v>#REF!</v>
      </c>
      <c r="CS6" t="e">
        <f>AND(#REF!,"AAAAADk9eWA=")</f>
        <v>#REF!</v>
      </c>
      <c r="CT6" t="e">
        <f>AND(#REF!,"AAAAADk9eWE=")</f>
        <v>#REF!</v>
      </c>
      <c r="CU6" t="e">
        <f>AND(#REF!,"AAAAADk9eWI=")</f>
        <v>#REF!</v>
      </c>
      <c r="CV6" t="e">
        <f>AND(#REF!,"AAAAADk9eWM=")</f>
        <v>#REF!</v>
      </c>
      <c r="CW6" t="e">
        <f>AND(#REF!,"AAAAADk9eWQ=")</f>
        <v>#REF!</v>
      </c>
      <c r="CX6" t="e">
        <f>AND(#REF!,"AAAAADk9eWU=")</f>
        <v>#REF!</v>
      </c>
      <c r="CY6" t="e">
        <f>AND(#REF!,"AAAAADk9eWY=")</f>
        <v>#REF!</v>
      </c>
      <c r="CZ6" t="e">
        <f>AND(#REF!,"AAAAADk9eWc=")</f>
        <v>#REF!</v>
      </c>
      <c r="DA6" t="e">
        <f>AND(#REF!,"AAAAADk9eWg=")</f>
        <v>#REF!</v>
      </c>
      <c r="DB6" t="e">
        <f>AND(#REF!,"AAAAADk9eWk=")</f>
        <v>#REF!</v>
      </c>
      <c r="DC6" t="e">
        <f>IF(#REF!,"AAAAADk9eWo=",0)</f>
        <v>#REF!</v>
      </c>
      <c r="DD6" t="e">
        <f>AND(#REF!,"AAAAADk9eWs=")</f>
        <v>#REF!</v>
      </c>
      <c r="DE6" t="e">
        <f>AND(#REF!,"AAAAADk9eWw=")</f>
        <v>#REF!</v>
      </c>
      <c r="DF6" t="e">
        <f>AND(#REF!,"AAAAADk9eW0=")</f>
        <v>#REF!</v>
      </c>
      <c r="DG6" t="e">
        <f>AND(#REF!,"AAAAADk9eW4=")</f>
        <v>#REF!</v>
      </c>
      <c r="DH6" t="e">
        <f>AND(#REF!,"AAAAADk9eW8=")</f>
        <v>#REF!</v>
      </c>
      <c r="DI6" t="e">
        <f>AND(#REF!,"AAAAADk9eXA=")</f>
        <v>#REF!</v>
      </c>
      <c r="DJ6" t="e">
        <f>AND(#REF!,"AAAAADk9eXE=")</f>
        <v>#REF!</v>
      </c>
      <c r="DK6" t="e">
        <f>AND(#REF!,"AAAAADk9eXI=")</f>
        <v>#REF!</v>
      </c>
      <c r="DL6" t="e">
        <f>AND(#REF!,"AAAAADk9eXM=")</f>
        <v>#REF!</v>
      </c>
      <c r="DM6" t="e">
        <f>AND(#REF!,"AAAAADk9eXQ=")</f>
        <v>#REF!</v>
      </c>
      <c r="DN6" t="e">
        <f>AND(#REF!,"AAAAADk9eXU=")</f>
        <v>#REF!</v>
      </c>
      <c r="DO6" t="e">
        <f>AND(#REF!,"AAAAADk9eXY=")</f>
        <v>#REF!</v>
      </c>
      <c r="DP6" t="e">
        <f>AND(#REF!,"AAAAADk9eXc=")</f>
        <v>#REF!</v>
      </c>
      <c r="DQ6" t="e">
        <f>AND(#REF!,"AAAAADk9eXg=")</f>
        <v>#REF!</v>
      </c>
      <c r="DR6" t="e">
        <f>AND(#REF!,"AAAAADk9eXk=")</f>
        <v>#REF!</v>
      </c>
      <c r="DS6" t="e">
        <f>AND(#REF!,"AAAAADk9eXo=")</f>
        <v>#REF!</v>
      </c>
      <c r="DT6" t="e">
        <f>AND(#REF!,"AAAAADk9eXs=")</f>
        <v>#REF!</v>
      </c>
      <c r="DU6" t="e">
        <f>AND(#REF!,"AAAAADk9eXw=")</f>
        <v>#REF!</v>
      </c>
      <c r="DV6" t="e">
        <f>AND(#REF!,"AAAAADk9eX0=")</f>
        <v>#REF!</v>
      </c>
      <c r="DW6" t="e">
        <f>AND(#REF!,"AAAAADk9eX4=")</f>
        <v>#REF!</v>
      </c>
      <c r="DX6" t="e">
        <f>AND(#REF!,"AAAAADk9eX8=")</f>
        <v>#REF!</v>
      </c>
      <c r="DY6" t="e">
        <f>IF(#REF!,"AAAAADk9eYA=",0)</f>
        <v>#REF!</v>
      </c>
      <c r="DZ6" t="e">
        <f>AND(#REF!,"AAAAADk9eYE=")</f>
        <v>#REF!</v>
      </c>
      <c r="EA6" t="e">
        <f>AND(#REF!,"AAAAADk9eYI=")</f>
        <v>#REF!</v>
      </c>
      <c r="EB6" t="e">
        <f>AND(#REF!,"AAAAADk9eYM=")</f>
        <v>#REF!</v>
      </c>
      <c r="EC6" t="e">
        <f>AND(#REF!,"AAAAADk9eYQ=")</f>
        <v>#REF!</v>
      </c>
      <c r="ED6" t="e">
        <f>AND(#REF!,"AAAAADk9eYU=")</f>
        <v>#REF!</v>
      </c>
      <c r="EE6" t="e">
        <f>AND(#REF!,"AAAAADk9eYY=")</f>
        <v>#REF!</v>
      </c>
      <c r="EF6" t="e">
        <f>AND(#REF!,"AAAAADk9eYc=")</f>
        <v>#REF!</v>
      </c>
      <c r="EG6" t="e">
        <f>AND(#REF!,"AAAAADk9eYg=")</f>
        <v>#REF!</v>
      </c>
      <c r="EH6" t="e">
        <f>AND(#REF!,"AAAAADk9eYk=")</f>
        <v>#REF!</v>
      </c>
      <c r="EI6" t="e">
        <f>AND(#REF!,"AAAAADk9eYo=")</f>
        <v>#REF!</v>
      </c>
      <c r="EJ6" t="e">
        <f>AND(#REF!,"AAAAADk9eYs=")</f>
        <v>#REF!</v>
      </c>
      <c r="EK6" t="e">
        <f>AND(#REF!,"AAAAADk9eYw=")</f>
        <v>#REF!</v>
      </c>
      <c r="EL6" t="e">
        <f>AND(#REF!,"AAAAADk9eY0=")</f>
        <v>#REF!</v>
      </c>
      <c r="EM6" t="e">
        <f>AND(#REF!,"AAAAADk9eY4=")</f>
        <v>#REF!</v>
      </c>
      <c r="EN6" t="e">
        <f>AND(#REF!,"AAAAADk9eY8=")</f>
        <v>#REF!</v>
      </c>
      <c r="EO6" t="e">
        <f>AND(#REF!,"AAAAADk9eZA=")</f>
        <v>#REF!</v>
      </c>
      <c r="EP6" t="e">
        <f>AND(#REF!,"AAAAADk9eZE=")</f>
        <v>#REF!</v>
      </c>
      <c r="EQ6" t="e">
        <f>AND(#REF!,"AAAAADk9eZI=")</f>
        <v>#REF!</v>
      </c>
      <c r="ER6" t="e">
        <f>AND(#REF!,"AAAAADk9eZM=")</f>
        <v>#REF!</v>
      </c>
      <c r="ES6" t="e">
        <f>AND(#REF!,"AAAAADk9eZQ=")</f>
        <v>#REF!</v>
      </c>
      <c r="ET6" t="e">
        <f>AND(#REF!,"AAAAADk9eZU=")</f>
        <v>#REF!</v>
      </c>
      <c r="EU6" t="e">
        <f>IF(#REF!,"AAAAADk9eZY=",0)</f>
        <v>#REF!</v>
      </c>
      <c r="EV6" t="e">
        <f>AND(#REF!,"AAAAADk9eZc=")</f>
        <v>#REF!</v>
      </c>
      <c r="EW6" t="e">
        <f>AND(#REF!,"AAAAADk9eZg=")</f>
        <v>#REF!</v>
      </c>
      <c r="EX6" t="e">
        <f>AND(#REF!,"AAAAADk9eZk=")</f>
        <v>#REF!</v>
      </c>
      <c r="EY6" t="e">
        <f>AND(#REF!,"AAAAADk9eZo=")</f>
        <v>#REF!</v>
      </c>
      <c r="EZ6" t="e">
        <f>AND(#REF!,"AAAAADk9eZs=")</f>
        <v>#REF!</v>
      </c>
      <c r="FA6" t="e">
        <f>AND(#REF!,"AAAAADk9eZw=")</f>
        <v>#REF!</v>
      </c>
      <c r="FB6" t="e">
        <f>AND(#REF!,"AAAAADk9eZ0=")</f>
        <v>#REF!</v>
      </c>
      <c r="FC6" t="e">
        <f>AND(#REF!,"AAAAADk9eZ4=")</f>
        <v>#REF!</v>
      </c>
      <c r="FD6" t="e">
        <f>AND(#REF!,"AAAAADk9eZ8=")</f>
        <v>#REF!</v>
      </c>
      <c r="FE6" t="e">
        <f>AND(#REF!,"AAAAADk9eaA=")</f>
        <v>#REF!</v>
      </c>
      <c r="FF6" t="e">
        <f>AND(#REF!,"AAAAADk9eaE=")</f>
        <v>#REF!</v>
      </c>
      <c r="FG6" t="e">
        <f>AND(#REF!,"AAAAADk9eaI=")</f>
        <v>#REF!</v>
      </c>
      <c r="FH6" t="e">
        <f>AND(#REF!,"AAAAADk9eaM=")</f>
        <v>#REF!</v>
      </c>
      <c r="FI6" t="e">
        <f>AND(#REF!,"AAAAADk9eaQ=")</f>
        <v>#REF!</v>
      </c>
      <c r="FJ6" t="e">
        <f>AND(#REF!,"AAAAADk9eaU=")</f>
        <v>#REF!</v>
      </c>
      <c r="FK6" t="e">
        <f>AND(#REF!,"AAAAADk9eaY=")</f>
        <v>#REF!</v>
      </c>
      <c r="FL6" t="e">
        <f>AND(#REF!,"AAAAADk9eac=")</f>
        <v>#REF!</v>
      </c>
      <c r="FM6" t="e">
        <f>AND(#REF!,"AAAAADk9eag=")</f>
        <v>#REF!</v>
      </c>
      <c r="FN6" t="e">
        <f>AND(#REF!,"AAAAADk9eak=")</f>
        <v>#REF!</v>
      </c>
      <c r="FO6" t="e">
        <f>AND(#REF!,"AAAAADk9eao=")</f>
        <v>#REF!</v>
      </c>
      <c r="FP6" t="e">
        <f>AND(#REF!,"AAAAADk9eas=")</f>
        <v>#REF!</v>
      </c>
      <c r="FQ6" t="e">
        <f>IF(#REF!,"AAAAADk9eaw=",0)</f>
        <v>#REF!</v>
      </c>
      <c r="FR6" t="e">
        <f>AND(#REF!,"AAAAADk9ea0=")</f>
        <v>#REF!</v>
      </c>
      <c r="FS6" t="e">
        <f>AND(#REF!,"AAAAADk9ea4=")</f>
        <v>#REF!</v>
      </c>
      <c r="FT6" t="e">
        <f>AND(#REF!,"AAAAADk9ea8=")</f>
        <v>#REF!</v>
      </c>
      <c r="FU6" t="e">
        <f>AND(#REF!,"AAAAADk9ebA=")</f>
        <v>#REF!</v>
      </c>
      <c r="FV6" t="e">
        <f>AND(#REF!,"AAAAADk9ebE=")</f>
        <v>#REF!</v>
      </c>
      <c r="FW6" t="e">
        <f>AND(#REF!,"AAAAADk9ebI=")</f>
        <v>#REF!</v>
      </c>
      <c r="FX6" t="e">
        <f>AND(#REF!,"AAAAADk9ebM=")</f>
        <v>#REF!</v>
      </c>
      <c r="FY6" t="e">
        <f>AND(#REF!,"AAAAADk9ebQ=")</f>
        <v>#REF!</v>
      </c>
      <c r="FZ6" t="e">
        <f>AND(#REF!,"AAAAADk9ebU=")</f>
        <v>#REF!</v>
      </c>
      <c r="GA6" t="e">
        <f>AND(#REF!,"AAAAADk9ebY=")</f>
        <v>#REF!</v>
      </c>
      <c r="GB6" t="e">
        <f>AND(#REF!,"AAAAADk9ebc=")</f>
        <v>#REF!</v>
      </c>
      <c r="GC6" t="e">
        <f>AND(#REF!,"AAAAADk9ebg=")</f>
        <v>#REF!</v>
      </c>
      <c r="GD6" t="e">
        <f>AND(#REF!,"AAAAADk9ebk=")</f>
        <v>#REF!</v>
      </c>
      <c r="GE6" t="e">
        <f>AND(#REF!,"AAAAADk9ebo=")</f>
        <v>#REF!</v>
      </c>
      <c r="GF6" t="e">
        <f>AND(#REF!,"AAAAADk9ebs=")</f>
        <v>#REF!</v>
      </c>
      <c r="GG6" t="e">
        <f>AND(#REF!,"AAAAADk9ebw=")</f>
        <v>#REF!</v>
      </c>
      <c r="GH6" t="e">
        <f>AND(#REF!,"AAAAADk9eb0=")</f>
        <v>#REF!</v>
      </c>
      <c r="GI6" t="e">
        <f>AND(#REF!,"AAAAADk9eb4=")</f>
        <v>#REF!</v>
      </c>
      <c r="GJ6" t="e">
        <f>AND(#REF!,"AAAAADk9eb8=")</f>
        <v>#REF!</v>
      </c>
      <c r="GK6" t="e">
        <f>AND(#REF!,"AAAAADk9ecA=")</f>
        <v>#REF!</v>
      </c>
      <c r="GL6" t="e">
        <f>AND(#REF!,"AAAAADk9ecE=")</f>
        <v>#REF!</v>
      </c>
      <c r="GM6" t="e">
        <f>IF(#REF!,"AAAAADk9ecI=",0)</f>
        <v>#REF!</v>
      </c>
      <c r="GN6" t="e">
        <f>AND(#REF!,"AAAAADk9ecM=")</f>
        <v>#REF!</v>
      </c>
      <c r="GO6" t="e">
        <f>AND(#REF!,"AAAAADk9ecQ=")</f>
        <v>#REF!</v>
      </c>
      <c r="GP6" t="e">
        <f>AND(#REF!,"AAAAADk9ecU=")</f>
        <v>#REF!</v>
      </c>
      <c r="GQ6" t="e">
        <f>AND(#REF!,"AAAAADk9ecY=")</f>
        <v>#REF!</v>
      </c>
      <c r="GR6" t="e">
        <f>AND(#REF!,"AAAAADk9ecc=")</f>
        <v>#REF!</v>
      </c>
      <c r="GS6" t="e">
        <f>AND(#REF!,"AAAAADk9ecg=")</f>
        <v>#REF!</v>
      </c>
      <c r="GT6" t="e">
        <f>AND(#REF!,"AAAAADk9eck=")</f>
        <v>#REF!</v>
      </c>
      <c r="GU6" t="e">
        <f>AND(#REF!,"AAAAADk9eco=")</f>
        <v>#REF!</v>
      </c>
      <c r="GV6" t="e">
        <f>AND(#REF!,"AAAAADk9ecs=")</f>
        <v>#REF!</v>
      </c>
      <c r="GW6" t="e">
        <f>AND(#REF!,"AAAAADk9ecw=")</f>
        <v>#REF!</v>
      </c>
      <c r="GX6" t="e">
        <f>AND(#REF!,"AAAAADk9ec0=")</f>
        <v>#REF!</v>
      </c>
      <c r="GY6" t="e">
        <f>AND(#REF!,"AAAAADk9ec4=")</f>
        <v>#REF!</v>
      </c>
      <c r="GZ6" t="e">
        <f>AND(#REF!,"AAAAADk9ec8=")</f>
        <v>#REF!</v>
      </c>
      <c r="HA6" t="e">
        <f>AND(#REF!,"AAAAADk9edA=")</f>
        <v>#REF!</v>
      </c>
      <c r="HB6" t="e">
        <f>AND(#REF!,"AAAAADk9edE=")</f>
        <v>#REF!</v>
      </c>
      <c r="HC6" t="e">
        <f>AND(#REF!,"AAAAADk9edI=")</f>
        <v>#REF!</v>
      </c>
      <c r="HD6" t="e">
        <f>AND(#REF!,"AAAAADk9edM=")</f>
        <v>#REF!</v>
      </c>
      <c r="HE6" t="e">
        <f>AND(#REF!,"AAAAADk9edQ=")</f>
        <v>#REF!</v>
      </c>
      <c r="HF6" t="e">
        <f>AND(#REF!,"AAAAADk9edU=")</f>
        <v>#REF!</v>
      </c>
      <c r="HG6" t="e">
        <f>AND(#REF!,"AAAAADk9edY=")</f>
        <v>#REF!</v>
      </c>
      <c r="HH6" t="e">
        <f>AND(#REF!,"AAAAADk9edc=")</f>
        <v>#REF!</v>
      </c>
      <c r="HI6" t="e">
        <f>IF(#REF!,"AAAAADk9edg=",0)</f>
        <v>#REF!</v>
      </c>
      <c r="HJ6" t="e">
        <f>AND(#REF!,"AAAAADk9edk=")</f>
        <v>#REF!</v>
      </c>
      <c r="HK6" t="e">
        <f>AND(#REF!,"AAAAADk9edo=")</f>
        <v>#REF!</v>
      </c>
      <c r="HL6" t="e">
        <f>AND(#REF!,"AAAAADk9eds=")</f>
        <v>#REF!</v>
      </c>
      <c r="HM6" t="e">
        <f>AND(#REF!,"AAAAADk9edw=")</f>
        <v>#REF!</v>
      </c>
      <c r="HN6" t="e">
        <f>AND(#REF!,"AAAAADk9ed0=")</f>
        <v>#REF!</v>
      </c>
      <c r="HO6" t="e">
        <f>AND(#REF!,"AAAAADk9ed4=")</f>
        <v>#REF!</v>
      </c>
      <c r="HP6" t="e">
        <f>AND(#REF!,"AAAAADk9ed8=")</f>
        <v>#REF!</v>
      </c>
      <c r="HQ6" t="e">
        <f>AND(#REF!,"AAAAADk9eeA=")</f>
        <v>#REF!</v>
      </c>
      <c r="HR6" t="e">
        <f>AND(#REF!,"AAAAADk9eeE=")</f>
        <v>#REF!</v>
      </c>
      <c r="HS6" t="e">
        <f>AND(#REF!,"AAAAADk9eeI=")</f>
        <v>#REF!</v>
      </c>
      <c r="HT6" t="e">
        <f>AND(#REF!,"AAAAADk9eeM=")</f>
        <v>#REF!</v>
      </c>
      <c r="HU6" t="e">
        <f>AND(#REF!,"AAAAADk9eeQ=")</f>
        <v>#REF!</v>
      </c>
      <c r="HV6" t="e">
        <f>AND(#REF!,"AAAAADk9eeU=")</f>
        <v>#REF!</v>
      </c>
      <c r="HW6" t="e">
        <f>AND(#REF!,"AAAAADk9eeY=")</f>
        <v>#REF!</v>
      </c>
      <c r="HX6" t="e">
        <f>AND(#REF!,"AAAAADk9eec=")</f>
        <v>#REF!</v>
      </c>
      <c r="HY6" t="e">
        <f>AND(#REF!,"AAAAADk9eeg=")</f>
        <v>#REF!</v>
      </c>
      <c r="HZ6" t="e">
        <f>AND(#REF!,"AAAAADk9eek=")</f>
        <v>#REF!</v>
      </c>
      <c r="IA6" t="e">
        <f>AND(#REF!,"AAAAADk9eeo=")</f>
        <v>#REF!</v>
      </c>
      <c r="IB6" t="e">
        <f>AND(#REF!,"AAAAADk9ees=")</f>
        <v>#REF!</v>
      </c>
      <c r="IC6" t="e">
        <f>AND(#REF!,"AAAAADk9eew=")</f>
        <v>#REF!</v>
      </c>
      <c r="ID6" t="e">
        <f>AND(#REF!,"AAAAADk9ee0=")</f>
        <v>#REF!</v>
      </c>
      <c r="IE6" t="e">
        <f>IF(#REF!,"AAAAADk9ee4=",0)</f>
        <v>#REF!</v>
      </c>
      <c r="IF6" t="e">
        <f>AND(#REF!,"AAAAADk9ee8=")</f>
        <v>#REF!</v>
      </c>
      <c r="IG6" t="e">
        <f>AND(#REF!,"AAAAADk9efA=")</f>
        <v>#REF!</v>
      </c>
      <c r="IH6" t="e">
        <f>AND(#REF!,"AAAAADk9efE=")</f>
        <v>#REF!</v>
      </c>
      <c r="II6" t="e">
        <f>AND(#REF!,"AAAAADk9efI=")</f>
        <v>#REF!</v>
      </c>
      <c r="IJ6" t="e">
        <f>AND(#REF!,"AAAAADk9efM=")</f>
        <v>#REF!</v>
      </c>
      <c r="IK6" t="e">
        <f>AND(#REF!,"AAAAADk9efQ=")</f>
        <v>#REF!</v>
      </c>
      <c r="IL6" t="e">
        <f>AND(#REF!,"AAAAADk9efU=")</f>
        <v>#REF!</v>
      </c>
      <c r="IM6" t="e">
        <f>AND(#REF!,"AAAAADk9efY=")</f>
        <v>#REF!</v>
      </c>
      <c r="IN6" t="e">
        <f>AND(#REF!,"AAAAADk9efc=")</f>
        <v>#REF!</v>
      </c>
      <c r="IO6" t="e">
        <f>AND(#REF!,"AAAAADk9efg=")</f>
        <v>#REF!</v>
      </c>
      <c r="IP6" t="e">
        <f>AND(#REF!,"AAAAADk9efk=")</f>
        <v>#REF!</v>
      </c>
      <c r="IQ6" t="e">
        <f>AND(#REF!,"AAAAADk9efo=")</f>
        <v>#REF!</v>
      </c>
      <c r="IR6" t="e">
        <f>AND(#REF!,"AAAAADk9efs=")</f>
        <v>#REF!</v>
      </c>
      <c r="IS6" t="e">
        <f>AND(#REF!,"AAAAADk9efw=")</f>
        <v>#REF!</v>
      </c>
      <c r="IT6" t="e">
        <f>AND(#REF!,"AAAAADk9ef0=")</f>
        <v>#REF!</v>
      </c>
      <c r="IU6" t="e">
        <f>AND(#REF!,"AAAAADk9ef4=")</f>
        <v>#REF!</v>
      </c>
      <c r="IV6" t="e">
        <f>AND(#REF!,"AAAAADk9ef8=")</f>
        <v>#REF!</v>
      </c>
    </row>
    <row r="7" spans="1:256">
      <c r="A7" t="e">
        <f>AND(#REF!,"AAAAAG9/bQA=")</f>
        <v>#REF!</v>
      </c>
      <c r="B7" t="e">
        <f>AND(#REF!,"AAAAAG9/bQE=")</f>
        <v>#REF!</v>
      </c>
      <c r="C7" t="e">
        <f>AND(#REF!,"AAAAAG9/bQI=")</f>
        <v>#REF!</v>
      </c>
      <c r="D7" t="e">
        <f>AND(#REF!,"AAAAAG9/bQM=")</f>
        <v>#REF!</v>
      </c>
      <c r="E7" t="e">
        <f>IF(#REF!,"AAAAAG9/bQQ=",0)</f>
        <v>#REF!</v>
      </c>
      <c r="F7" t="e">
        <f>AND(#REF!,"AAAAAG9/bQU=")</f>
        <v>#REF!</v>
      </c>
      <c r="G7" t="e">
        <f>AND(#REF!,"AAAAAG9/bQY=")</f>
        <v>#REF!</v>
      </c>
      <c r="H7" t="e">
        <f>AND(#REF!,"AAAAAG9/bQc=")</f>
        <v>#REF!</v>
      </c>
      <c r="I7" t="e">
        <f>AND(#REF!,"AAAAAG9/bQg=")</f>
        <v>#REF!</v>
      </c>
      <c r="J7" t="e">
        <f>AND(#REF!,"AAAAAG9/bQk=")</f>
        <v>#REF!</v>
      </c>
      <c r="K7" t="e">
        <f>AND(#REF!,"AAAAAG9/bQo=")</f>
        <v>#REF!</v>
      </c>
      <c r="L7" t="e">
        <f>AND(#REF!,"AAAAAG9/bQs=")</f>
        <v>#REF!</v>
      </c>
      <c r="M7" t="e">
        <f>AND(#REF!,"AAAAAG9/bQw=")</f>
        <v>#REF!</v>
      </c>
      <c r="N7" t="e">
        <f>AND(#REF!,"AAAAAG9/bQ0=")</f>
        <v>#REF!</v>
      </c>
      <c r="O7" t="e">
        <f>AND(#REF!,"AAAAAG9/bQ4=")</f>
        <v>#REF!</v>
      </c>
      <c r="P7" t="e">
        <f>AND(#REF!,"AAAAAG9/bQ8=")</f>
        <v>#REF!</v>
      </c>
      <c r="Q7" t="e">
        <f>AND(#REF!,"AAAAAG9/bRA=")</f>
        <v>#REF!</v>
      </c>
      <c r="R7" t="e">
        <f>AND(#REF!,"AAAAAG9/bRE=")</f>
        <v>#REF!</v>
      </c>
      <c r="S7" t="e">
        <f>AND(#REF!,"AAAAAG9/bRI=")</f>
        <v>#REF!</v>
      </c>
      <c r="T7" t="e">
        <f>AND(#REF!,"AAAAAG9/bRM=")</f>
        <v>#REF!</v>
      </c>
      <c r="U7" t="e">
        <f>AND(#REF!,"AAAAAG9/bRQ=")</f>
        <v>#REF!</v>
      </c>
      <c r="V7" t="e">
        <f>AND(#REF!,"AAAAAG9/bRU=")</f>
        <v>#REF!</v>
      </c>
      <c r="W7" t="e">
        <f>AND(#REF!,"AAAAAG9/bRY=")</f>
        <v>#REF!</v>
      </c>
      <c r="X7" t="e">
        <f>AND(#REF!,"AAAAAG9/bRc=")</f>
        <v>#REF!</v>
      </c>
      <c r="Y7" t="e">
        <f>AND(#REF!,"AAAAAG9/bRg=")</f>
        <v>#REF!</v>
      </c>
      <c r="Z7" t="e">
        <f>AND(#REF!,"AAAAAG9/bRk=")</f>
        <v>#REF!</v>
      </c>
      <c r="AA7" t="e">
        <f>IF(#REF!,"AAAAAG9/bRo=",0)</f>
        <v>#REF!</v>
      </c>
      <c r="AB7" t="e">
        <f>AND(#REF!,"AAAAAG9/bRs=")</f>
        <v>#REF!</v>
      </c>
      <c r="AC7" t="e">
        <f>AND(#REF!,"AAAAAG9/bRw=")</f>
        <v>#REF!</v>
      </c>
      <c r="AD7" t="e">
        <f>AND(#REF!,"AAAAAG9/bR0=")</f>
        <v>#REF!</v>
      </c>
      <c r="AE7" t="e">
        <f>AND(#REF!,"AAAAAG9/bR4=")</f>
        <v>#REF!</v>
      </c>
      <c r="AF7" t="e">
        <f>AND(#REF!,"AAAAAG9/bR8=")</f>
        <v>#REF!</v>
      </c>
      <c r="AG7" t="e">
        <f>AND(#REF!,"AAAAAG9/bSA=")</f>
        <v>#REF!</v>
      </c>
      <c r="AH7" t="e">
        <f>AND(#REF!,"AAAAAG9/bSE=")</f>
        <v>#REF!</v>
      </c>
      <c r="AI7" t="e">
        <f>AND(#REF!,"AAAAAG9/bSI=")</f>
        <v>#REF!</v>
      </c>
      <c r="AJ7" t="e">
        <f>AND(#REF!,"AAAAAG9/bSM=")</f>
        <v>#REF!</v>
      </c>
      <c r="AK7" t="e">
        <f>AND(#REF!,"AAAAAG9/bSQ=")</f>
        <v>#REF!</v>
      </c>
      <c r="AL7" t="e">
        <f>AND(#REF!,"AAAAAG9/bSU=")</f>
        <v>#REF!</v>
      </c>
      <c r="AM7" t="e">
        <f>AND(#REF!,"AAAAAG9/bSY=")</f>
        <v>#REF!</v>
      </c>
      <c r="AN7" t="e">
        <f>AND(#REF!,"AAAAAG9/bSc=")</f>
        <v>#REF!</v>
      </c>
      <c r="AO7" t="e">
        <f>AND(#REF!,"AAAAAG9/bSg=")</f>
        <v>#REF!</v>
      </c>
      <c r="AP7" t="e">
        <f>AND(#REF!,"AAAAAG9/bSk=")</f>
        <v>#REF!</v>
      </c>
      <c r="AQ7" t="e">
        <f>AND(#REF!,"AAAAAG9/bSo=")</f>
        <v>#REF!</v>
      </c>
      <c r="AR7" t="e">
        <f>AND(#REF!,"AAAAAG9/bSs=")</f>
        <v>#REF!</v>
      </c>
      <c r="AS7" t="e">
        <f>AND(#REF!,"AAAAAG9/bSw=")</f>
        <v>#REF!</v>
      </c>
      <c r="AT7" t="e">
        <f>AND(#REF!,"AAAAAG9/bS0=")</f>
        <v>#REF!</v>
      </c>
      <c r="AU7" t="e">
        <f>AND(#REF!,"AAAAAG9/bS4=")</f>
        <v>#REF!</v>
      </c>
      <c r="AV7" t="e">
        <f>AND(#REF!,"AAAAAG9/bS8=")</f>
        <v>#REF!</v>
      </c>
      <c r="AW7" t="e">
        <f>IF(#REF!,"AAAAAG9/bTA=",0)</f>
        <v>#REF!</v>
      </c>
      <c r="AX7" t="e">
        <f>AND(#REF!,"AAAAAG9/bTE=")</f>
        <v>#REF!</v>
      </c>
      <c r="AY7" t="e">
        <f>AND(#REF!,"AAAAAG9/bTI=")</f>
        <v>#REF!</v>
      </c>
      <c r="AZ7" t="e">
        <f>AND(#REF!,"AAAAAG9/bTM=")</f>
        <v>#REF!</v>
      </c>
      <c r="BA7" t="e">
        <f>AND(#REF!,"AAAAAG9/bTQ=")</f>
        <v>#REF!</v>
      </c>
      <c r="BB7" t="e">
        <f>AND(#REF!,"AAAAAG9/bTU=")</f>
        <v>#REF!</v>
      </c>
      <c r="BC7" t="e">
        <f>AND(#REF!,"AAAAAG9/bTY=")</f>
        <v>#REF!</v>
      </c>
      <c r="BD7" t="e">
        <f>AND(#REF!,"AAAAAG9/bTc=")</f>
        <v>#REF!</v>
      </c>
      <c r="BE7" t="e">
        <f>AND(#REF!,"AAAAAG9/bTg=")</f>
        <v>#REF!</v>
      </c>
      <c r="BF7" t="e">
        <f>AND(#REF!,"AAAAAG9/bTk=")</f>
        <v>#REF!</v>
      </c>
      <c r="BG7" t="e">
        <f>AND(#REF!,"AAAAAG9/bTo=")</f>
        <v>#REF!</v>
      </c>
      <c r="BH7" t="e">
        <f>AND(#REF!,"AAAAAG9/bTs=")</f>
        <v>#REF!</v>
      </c>
      <c r="BI7" t="e">
        <f>AND(#REF!,"AAAAAG9/bTw=")</f>
        <v>#REF!</v>
      </c>
      <c r="BJ7" t="e">
        <f>AND(#REF!,"AAAAAG9/bT0=")</f>
        <v>#REF!</v>
      </c>
      <c r="BK7" t="e">
        <f>AND(#REF!,"AAAAAG9/bT4=")</f>
        <v>#REF!</v>
      </c>
      <c r="BL7" t="e">
        <f>AND(#REF!,"AAAAAG9/bT8=")</f>
        <v>#REF!</v>
      </c>
      <c r="BM7" t="e">
        <f>AND(#REF!,"AAAAAG9/bUA=")</f>
        <v>#REF!</v>
      </c>
      <c r="BN7" t="e">
        <f>AND(#REF!,"AAAAAG9/bUE=")</f>
        <v>#REF!</v>
      </c>
      <c r="BO7" t="e">
        <f>AND(#REF!,"AAAAAG9/bUI=")</f>
        <v>#REF!</v>
      </c>
      <c r="BP7" t="e">
        <f>AND(#REF!,"AAAAAG9/bUM=")</f>
        <v>#REF!</v>
      </c>
      <c r="BQ7" t="e">
        <f>AND(#REF!,"AAAAAG9/bUQ=")</f>
        <v>#REF!</v>
      </c>
      <c r="BR7" t="e">
        <f>AND(#REF!,"AAAAAG9/bUU=")</f>
        <v>#REF!</v>
      </c>
      <c r="BS7" t="e">
        <f>IF(#REF!,"AAAAAG9/bUY=",0)</f>
        <v>#REF!</v>
      </c>
      <c r="BT7" t="e">
        <f>AND(#REF!,"AAAAAG9/bUc=")</f>
        <v>#REF!</v>
      </c>
      <c r="BU7" t="e">
        <f>AND(#REF!,"AAAAAG9/bUg=")</f>
        <v>#REF!</v>
      </c>
      <c r="BV7" t="e">
        <f>AND(#REF!,"AAAAAG9/bUk=")</f>
        <v>#REF!</v>
      </c>
      <c r="BW7" t="e">
        <f>AND(#REF!,"AAAAAG9/bUo=")</f>
        <v>#REF!</v>
      </c>
      <c r="BX7" t="e">
        <f>AND(#REF!,"AAAAAG9/bUs=")</f>
        <v>#REF!</v>
      </c>
      <c r="BY7" t="e">
        <f>AND(#REF!,"AAAAAG9/bUw=")</f>
        <v>#REF!</v>
      </c>
      <c r="BZ7" t="e">
        <f>AND(#REF!,"AAAAAG9/bU0=")</f>
        <v>#REF!</v>
      </c>
      <c r="CA7" t="e">
        <f>AND(#REF!,"AAAAAG9/bU4=")</f>
        <v>#REF!</v>
      </c>
      <c r="CB7" t="e">
        <f>AND(#REF!,"AAAAAG9/bU8=")</f>
        <v>#REF!</v>
      </c>
      <c r="CC7" t="e">
        <f>AND(#REF!,"AAAAAG9/bVA=")</f>
        <v>#REF!</v>
      </c>
      <c r="CD7" t="e">
        <f>AND(#REF!,"AAAAAG9/bVE=")</f>
        <v>#REF!</v>
      </c>
      <c r="CE7" t="e">
        <f>AND(#REF!,"AAAAAG9/bVI=")</f>
        <v>#REF!</v>
      </c>
      <c r="CF7" t="e">
        <f>AND(#REF!,"AAAAAG9/bVM=")</f>
        <v>#REF!</v>
      </c>
      <c r="CG7" t="e">
        <f>AND(#REF!,"AAAAAG9/bVQ=")</f>
        <v>#REF!</v>
      </c>
      <c r="CH7" t="e">
        <f>AND(#REF!,"AAAAAG9/bVU=")</f>
        <v>#REF!</v>
      </c>
      <c r="CI7" t="e">
        <f>AND(#REF!,"AAAAAG9/bVY=")</f>
        <v>#REF!</v>
      </c>
      <c r="CJ7" t="e">
        <f>AND(#REF!,"AAAAAG9/bVc=")</f>
        <v>#REF!</v>
      </c>
      <c r="CK7" t="e">
        <f>AND(#REF!,"AAAAAG9/bVg=")</f>
        <v>#REF!</v>
      </c>
      <c r="CL7" t="e">
        <f>AND(#REF!,"AAAAAG9/bVk=")</f>
        <v>#REF!</v>
      </c>
      <c r="CM7" t="e">
        <f>AND(#REF!,"AAAAAG9/bVo=")</f>
        <v>#REF!</v>
      </c>
      <c r="CN7" t="e">
        <f>AND(#REF!,"AAAAAG9/bVs=")</f>
        <v>#REF!</v>
      </c>
      <c r="CO7" t="e">
        <f>IF(#REF!,"AAAAAG9/bVw=",0)</f>
        <v>#REF!</v>
      </c>
      <c r="CP7" t="e">
        <f>AND(#REF!,"AAAAAG9/bV0=")</f>
        <v>#REF!</v>
      </c>
      <c r="CQ7" t="e">
        <f>AND(#REF!,"AAAAAG9/bV4=")</f>
        <v>#REF!</v>
      </c>
      <c r="CR7" t="e">
        <f>AND(#REF!,"AAAAAG9/bV8=")</f>
        <v>#REF!</v>
      </c>
      <c r="CS7" t="e">
        <f>AND(#REF!,"AAAAAG9/bWA=")</f>
        <v>#REF!</v>
      </c>
      <c r="CT7" t="e">
        <f>AND(#REF!,"AAAAAG9/bWE=")</f>
        <v>#REF!</v>
      </c>
      <c r="CU7" t="e">
        <f>AND(#REF!,"AAAAAG9/bWI=")</f>
        <v>#REF!</v>
      </c>
      <c r="CV7" t="e">
        <f>AND(#REF!,"AAAAAG9/bWM=")</f>
        <v>#REF!</v>
      </c>
      <c r="CW7" t="e">
        <f>AND(#REF!,"AAAAAG9/bWQ=")</f>
        <v>#REF!</v>
      </c>
      <c r="CX7" t="e">
        <f>AND(#REF!,"AAAAAG9/bWU=")</f>
        <v>#REF!</v>
      </c>
      <c r="CY7" t="e">
        <f>AND(#REF!,"AAAAAG9/bWY=")</f>
        <v>#REF!</v>
      </c>
      <c r="CZ7" t="e">
        <f>AND(#REF!,"AAAAAG9/bWc=")</f>
        <v>#REF!</v>
      </c>
      <c r="DA7" t="e">
        <f>AND(#REF!,"AAAAAG9/bWg=")</f>
        <v>#REF!</v>
      </c>
      <c r="DB7" t="e">
        <f>AND(#REF!,"AAAAAG9/bWk=")</f>
        <v>#REF!</v>
      </c>
      <c r="DC7" t="e">
        <f>AND(#REF!,"AAAAAG9/bWo=")</f>
        <v>#REF!</v>
      </c>
      <c r="DD7" t="e">
        <f>AND(#REF!,"AAAAAG9/bWs=")</f>
        <v>#REF!</v>
      </c>
      <c r="DE7" t="e">
        <f>AND(#REF!,"AAAAAG9/bWw=")</f>
        <v>#REF!</v>
      </c>
      <c r="DF7" t="e">
        <f>AND(#REF!,"AAAAAG9/bW0=")</f>
        <v>#REF!</v>
      </c>
      <c r="DG7" t="e">
        <f>AND(#REF!,"AAAAAG9/bW4=")</f>
        <v>#REF!</v>
      </c>
      <c r="DH7" t="e">
        <f>AND(#REF!,"AAAAAG9/bW8=")</f>
        <v>#REF!</v>
      </c>
      <c r="DI7" t="e">
        <f>AND(#REF!,"AAAAAG9/bXA=")</f>
        <v>#REF!</v>
      </c>
      <c r="DJ7" t="e">
        <f>AND(#REF!,"AAAAAG9/bXE=")</f>
        <v>#REF!</v>
      </c>
      <c r="DK7" t="e">
        <f>IF(#REF!,"AAAAAG9/bXI=",0)</f>
        <v>#REF!</v>
      </c>
      <c r="DL7" t="e">
        <f>AND(#REF!,"AAAAAG9/bXM=")</f>
        <v>#REF!</v>
      </c>
      <c r="DM7" t="e">
        <f>AND(#REF!,"AAAAAG9/bXQ=")</f>
        <v>#REF!</v>
      </c>
      <c r="DN7" t="e">
        <f>AND(#REF!,"AAAAAG9/bXU=")</f>
        <v>#REF!</v>
      </c>
      <c r="DO7" t="e">
        <f>AND(#REF!,"AAAAAG9/bXY=")</f>
        <v>#REF!</v>
      </c>
      <c r="DP7" t="e">
        <f>AND(#REF!,"AAAAAG9/bXc=")</f>
        <v>#REF!</v>
      </c>
      <c r="DQ7" t="e">
        <f>AND(#REF!,"AAAAAG9/bXg=")</f>
        <v>#REF!</v>
      </c>
      <c r="DR7" t="e">
        <f>AND(#REF!,"AAAAAG9/bXk=")</f>
        <v>#REF!</v>
      </c>
      <c r="DS7" t="e">
        <f>AND(#REF!,"AAAAAG9/bXo=")</f>
        <v>#REF!</v>
      </c>
      <c r="DT7" t="e">
        <f>AND(#REF!,"AAAAAG9/bXs=")</f>
        <v>#REF!</v>
      </c>
      <c r="DU7" t="e">
        <f>AND(#REF!,"AAAAAG9/bXw=")</f>
        <v>#REF!</v>
      </c>
      <c r="DV7" t="e">
        <f>AND(#REF!,"AAAAAG9/bX0=")</f>
        <v>#REF!</v>
      </c>
      <c r="DW7" t="e">
        <f>AND(#REF!,"AAAAAG9/bX4=")</f>
        <v>#REF!</v>
      </c>
      <c r="DX7" t="e">
        <f>AND(#REF!,"AAAAAG9/bX8=")</f>
        <v>#REF!</v>
      </c>
      <c r="DY7" t="e">
        <f>AND(#REF!,"AAAAAG9/bYA=")</f>
        <v>#REF!</v>
      </c>
      <c r="DZ7" t="e">
        <f>AND(#REF!,"AAAAAG9/bYE=")</f>
        <v>#REF!</v>
      </c>
      <c r="EA7" t="e">
        <f>AND(#REF!,"AAAAAG9/bYI=")</f>
        <v>#REF!</v>
      </c>
      <c r="EB7" t="e">
        <f>AND(#REF!,"AAAAAG9/bYM=")</f>
        <v>#REF!</v>
      </c>
      <c r="EC7" t="e">
        <f>AND(#REF!,"AAAAAG9/bYQ=")</f>
        <v>#REF!</v>
      </c>
      <c r="ED7" t="e">
        <f>AND(#REF!,"AAAAAG9/bYU=")</f>
        <v>#REF!</v>
      </c>
      <c r="EE7" t="e">
        <f>AND(#REF!,"AAAAAG9/bYY=")</f>
        <v>#REF!</v>
      </c>
      <c r="EF7" t="e">
        <f>AND(#REF!,"AAAAAG9/bYc=")</f>
        <v>#REF!</v>
      </c>
      <c r="EG7" t="e">
        <f>IF(#REF!,"AAAAAG9/bYg=",0)</f>
        <v>#REF!</v>
      </c>
      <c r="EH7" t="e">
        <f>AND(#REF!,"AAAAAG9/bYk=")</f>
        <v>#REF!</v>
      </c>
      <c r="EI7" t="e">
        <f>AND(#REF!,"AAAAAG9/bYo=")</f>
        <v>#REF!</v>
      </c>
      <c r="EJ7" t="e">
        <f>AND(#REF!,"AAAAAG9/bYs=")</f>
        <v>#REF!</v>
      </c>
      <c r="EK7" t="e">
        <f>AND(#REF!,"AAAAAG9/bYw=")</f>
        <v>#REF!</v>
      </c>
      <c r="EL7" t="e">
        <f>AND(#REF!,"AAAAAG9/bY0=")</f>
        <v>#REF!</v>
      </c>
      <c r="EM7" t="e">
        <f>AND(#REF!,"AAAAAG9/bY4=")</f>
        <v>#REF!</v>
      </c>
      <c r="EN7" t="e">
        <f>AND(#REF!,"AAAAAG9/bY8=")</f>
        <v>#REF!</v>
      </c>
      <c r="EO7" t="e">
        <f>AND(#REF!,"AAAAAG9/bZA=")</f>
        <v>#REF!</v>
      </c>
      <c r="EP7" t="e">
        <f>AND(#REF!,"AAAAAG9/bZE=")</f>
        <v>#REF!</v>
      </c>
      <c r="EQ7" t="e">
        <f>AND(#REF!,"AAAAAG9/bZI=")</f>
        <v>#REF!</v>
      </c>
      <c r="ER7" t="e">
        <f>AND(#REF!,"AAAAAG9/bZM=")</f>
        <v>#REF!</v>
      </c>
      <c r="ES7" t="e">
        <f>AND(#REF!,"AAAAAG9/bZQ=")</f>
        <v>#REF!</v>
      </c>
      <c r="ET7" t="e">
        <f>AND(#REF!,"AAAAAG9/bZU=")</f>
        <v>#REF!</v>
      </c>
      <c r="EU7" t="e">
        <f>AND(#REF!,"AAAAAG9/bZY=")</f>
        <v>#REF!</v>
      </c>
      <c r="EV7" t="e">
        <f>AND(#REF!,"AAAAAG9/bZc=")</f>
        <v>#REF!</v>
      </c>
      <c r="EW7" t="e">
        <f>AND(#REF!,"AAAAAG9/bZg=")</f>
        <v>#REF!</v>
      </c>
      <c r="EX7" t="e">
        <f>AND(#REF!,"AAAAAG9/bZk=")</f>
        <v>#REF!</v>
      </c>
      <c r="EY7" t="e">
        <f>AND(#REF!,"AAAAAG9/bZo=")</f>
        <v>#REF!</v>
      </c>
      <c r="EZ7" t="e">
        <f>AND(#REF!,"AAAAAG9/bZs=")</f>
        <v>#REF!</v>
      </c>
      <c r="FA7" t="e">
        <f>AND(#REF!,"AAAAAG9/bZw=")</f>
        <v>#REF!</v>
      </c>
      <c r="FB7" t="e">
        <f>AND(#REF!,"AAAAAG9/bZ0=")</f>
        <v>#REF!</v>
      </c>
      <c r="FC7" t="e">
        <f>IF(#REF!,"AAAAAG9/bZ4=",0)</f>
        <v>#REF!</v>
      </c>
      <c r="FD7" t="e">
        <f>AND(#REF!,"AAAAAG9/bZ8=")</f>
        <v>#REF!</v>
      </c>
      <c r="FE7" t="e">
        <f>AND(#REF!,"AAAAAG9/baA=")</f>
        <v>#REF!</v>
      </c>
      <c r="FF7" t="e">
        <f>AND(#REF!,"AAAAAG9/baE=")</f>
        <v>#REF!</v>
      </c>
      <c r="FG7" t="e">
        <f>AND(#REF!,"AAAAAG9/baI=")</f>
        <v>#REF!</v>
      </c>
      <c r="FH7" t="e">
        <f>AND(#REF!,"AAAAAG9/baM=")</f>
        <v>#REF!</v>
      </c>
      <c r="FI7" t="e">
        <f>AND(#REF!,"AAAAAG9/baQ=")</f>
        <v>#REF!</v>
      </c>
      <c r="FJ7" t="e">
        <f>AND(#REF!,"AAAAAG9/baU=")</f>
        <v>#REF!</v>
      </c>
      <c r="FK7" t="e">
        <f>AND(#REF!,"AAAAAG9/baY=")</f>
        <v>#REF!</v>
      </c>
      <c r="FL7" t="e">
        <f>AND(#REF!,"AAAAAG9/bac=")</f>
        <v>#REF!</v>
      </c>
      <c r="FM7" t="e">
        <f>AND(#REF!,"AAAAAG9/bag=")</f>
        <v>#REF!</v>
      </c>
      <c r="FN7" t="e">
        <f>AND(#REF!,"AAAAAG9/bak=")</f>
        <v>#REF!</v>
      </c>
      <c r="FO7" t="e">
        <f>AND(#REF!,"AAAAAG9/bao=")</f>
        <v>#REF!</v>
      </c>
      <c r="FP7" t="e">
        <f>AND(#REF!,"AAAAAG9/bas=")</f>
        <v>#REF!</v>
      </c>
      <c r="FQ7" t="e">
        <f>AND(#REF!,"AAAAAG9/baw=")</f>
        <v>#REF!</v>
      </c>
      <c r="FR7" t="e">
        <f>AND(#REF!,"AAAAAG9/ba0=")</f>
        <v>#REF!</v>
      </c>
      <c r="FS7" t="e">
        <f>AND(#REF!,"AAAAAG9/ba4=")</f>
        <v>#REF!</v>
      </c>
      <c r="FT7" t="e">
        <f>AND(#REF!,"AAAAAG9/ba8=")</f>
        <v>#REF!</v>
      </c>
      <c r="FU7" t="e">
        <f>AND(#REF!,"AAAAAG9/bbA=")</f>
        <v>#REF!</v>
      </c>
      <c r="FV7" t="e">
        <f>AND(#REF!,"AAAAAG9/bbE=")</f>
        <v>#REF!</v>
      </c>
      <c r="FW7" t="e">
        <f>AND(#REF!,"AAAAAG9/bbI=")</f>
        <v>#REF!</v>
      </c>
      <c r="FX7" t="e">
        <f>AND(#REF!,"AAAAAG9/bbM=")</f>
        <v>#REF!</v>
      </c>
      <c r="FY7" t="e">
        <f>IF(#REF!,"AAAAAG9/bbQ=",0)</f>
        <v>#REF!</v>
      </c>
      <c r="FZ7" t="e">
        <f>AND(#REF!,"AAAAAG9/bbU=")</f>
        <v>#REF!</v>
      </c>
      <c r="GA7" t="e">
        <f>AND(#REF!,"AAAAAG9/bbY=")</f>
        <v>#REF!</v>
      </c>
      <c r="GB7" t="e">
        <f>AND(#REF!,"AAAAAG9/bbc=")</f>
        <v>#REF!</v>
      </c>
      <c r="GC7" t="e">
        <f>AND(#REF!,"AAAAAG9/bbg=")</f>
        <v>#REF!</v>
      </c>
      <c r="GD7" t="e">
        <f>AND(#REF!,"AAAAAG9/bbk=")</f>
        <v>#REF!</v>
      </c>
      <c r="GE7" t="e">
        <f>AND(#REF!,"AAAAAG9/bbo=")</f>
        <v>#REF!</v>
      </c>
      <c r="GF7" t="e">
        <f>AND(#REF!,"AAAAAG9/bbs=")</f>
        <v>#REF!</v>
      </c>
      <c r="GG7" t="e">
        <f>AND(#REF!,"AAAAAG9/bbw=")</f>
        <v>#REF!</v>
      </c>
      <c r="GH7" t="e">
        <f>AND(#REF!,"AAAAAG9/bb0=")</f>
        <v>#REF!</v>
      </c>
      <c r="GI7" t="e">
        <f>AND(#REF!,"AAAAAG9/bb4=")</f>
        <v>#REF!</v>
      </c>
      <c r="GJ7" t="e">
        <f>AND(#REF!,"AAAAAG9/bb8=")</f>
        <v>#REF!</v>
      </c>
      <c r="GK7" t="e">
        <f>AND(#REF!,"AAAAAG9/bcA=")</f>
        <v>#REF!</v>
      </c>
      <c r="GL7" t="e">
        <f>AND(#REF!,"AAAAAG9/bcE=")</f>
        <v>#REF!</v>
      </c>
      <c r="GM7" t="e">
        <f>AND(#REF!,"AAAAAG9/bcI=")</f>
        <v>#REF!</v>
      </c>
      <c r="GN7" t="e">
        <f>AND(#REF!,"AAAAAG9/bcM=")</f>
        <v>#REF!</v>
      </c>
      <c r="GO7" t="e">
        <f>AND(#REF!,"AAAAAG9/bcQ=")</f>
        <v>#REF!</v>
      </c>
      <c r="GP7" t="e">
        <f>AND(#REF!,"AAAAAG9/bcU=")</f>
        <v>#REF!</v>
      </c>
      <c r="GQ7" t="e">
        <f>AND(#REF!,"AAAAAG9/bcY=")</f>
        <v>#REF!</v>
      </c>
      <c r="GR7" t="e">
        <f>AND(#REF!,"AAAAAG9/bcc=")</f>
        <v>#REF!</v>
      </c>
      <c r="GS7" t="e">
        <f>AND(#REF!,"AAAAAG9/bcg=")</f>
        <v>#REF!</v>
      </c>
      <c r="GT7" t="e">
        <f>AND(#REF!,"AAAAAG9/bck=")</f>
        <v>#REF!</v>
      </c>
      <c r="GU7" t="e">
        <f>IF(#REF!,"AAAAAG9/bco=",0)</f>
        <v>#REF!</v>
      </c>
      <c r="GV7" t="e">
        <f>AND(#REF!,"AAAAAG9/bcs=")</f>
        <v>#REF!</v>
      </c>
      <c r="GW7" t="e">
        <f>AND(#REF!,"AAAAAG9/bcw=")</f>
        <v>#REF!</v>
      </c>
      <c r="GX7" t="e">
        <f>AND(#REF!,"AAAAAG9/bc0=")</f>
        <v>#REF!</v>
      </c>
      <c r="GY7" t="e">
        <f>AND(#REF!,"AAAAAG9/bc4=")</f>
        <v>#REF!</v>
      </c>
      <c r="GZ7" t="e">
        <f>AND(#REF!,"AAAAAG9/bc8=")</f>
        <v>#REF!</v>
      </c>
      <c r="HA7" t="e">
        <f>AND(#REF!,"AAAAAG9/bdA=")</f>
        <v>#REF!</v>
      </c>
      <c r="HB7" t="e">
        <f>AND(#REF!,"AAAAAG9/bdE=")</f>
        <v>#REF!</v>
      </c>
      <c r="HC7" t="e">
        <f>AND(#REF!,"AAAAAG9/bdI=")</f>
        <v>#REF!</v>
      </c>
      <c r="HD7" t="e">
        <f>AND(#REF!,"AAAAAG9/bdM=")</f>
        <v>#REF!</v>
      </c>
      <c r="HE7" t="e">
        <f>AND(#REF!,"AAAAAG9/bdQ=")</f>
        <v>#REF!</v>
      </c>
      <c r="HF7" t="e">
        <f>AND(#REF!,"AAAAAG9/bdU=")</f>
        <v>#REF!</v>
      </c>
      <c r="HG7" t="e">
        <f>AND(#REF!,"AAAAAG9/bdY=")</f>
        <v>#REF!</v>
      </c>
      <c r="HH7" t="e">
        <f>AND(#REF!,"AAAAAG9/bdc=")</f>
        <v>#REF!</v>
      </c>
      <c r="HI7" t="e">
        <f>AND(#REF!,"AAAAAG9/bdg=")</f>
        <v>#REF!</v>
      </c>
      <c r="HJ7" t="e">
        <f>AND(#REF!,"AAAAAG9/bdk=")</f>
        <v>#REF!</v>
      </c>
      <c r="HK7" t="e">
        <f>AND(#REF!,"AAAAAG9/bdo=")</f>
        <v>#REF!</v>
      </c>
      <c r="HL7" t="e">
        <f>AND(#REF!,"AAAAAG9/bds=")</f>
        <v>#REF!</v>
      </c>
      <c r="HM7" t="e">
        <f>AND(#REF!,"AAAAAG9/bdw=")</f>
        <v>#REF!</v>
      </c>
      <c r="HN7" t="e">
        <f>AND(#REF!,"AAAAAG9/bd0=")</f>
        <v>#REF!</v>
      </c>
      <c r="HO7" t="e">
        <f>AND(#REF!,"AAAAAG9/bd4=")</f>
        <v>#REF!</v>
      </c>
      <c r="HP7" t="e">
        <f>AND(#REF!,"AAAAAG9/bd8=")</f>
        <v>#REF!</v>
      </c>
      <c r="HQ7" t="e">
        <f>IF(#REF!,"AAAAAG9/beA=",0)</f>
        <v>#REF!</v>
      </c>
      <c r="HR7" t="e">
        <f>AND(#REF!,"AAAAAG9/beE=")</f>
        <v>#REF!</v>
      </c>
      <c r="HS7" t="e">
        <f>AND(#REF!,"AAAAAG9/beI=")</f>
        <v>#REF!</v>
      </c>
      <c r="HT7" t="e">
        <f>AND(#REF!,"AAAAAG9/beM=")</f>
        <v>#REF!</v>
      </c>
      <c r="HU7" t="e">
        <f>AND(#REF!,"AAAAAG9/beQ=")</f>
        <v>#REF!</v>
      </c>
      <c r="HV7" t="e">
        <f>AND(#REF!,"AAAAAG9/beU=")</f>
        <v>#REF!</v>
      </c>
      <c r="HW7" t="e">
        <f>AND(#REF!,"AAAAAG9/beY=")</f>
        <v>#REF!</v>
      </c>
      <c r="HX7" t="e">
        <f>AND(#REF!,"AAAAAG9/bec=")</f>
        <v>#REF!</v>
      </c>
      <c r="HY7" t="e">
        <f>AND(#REF!,"AAAAAG9/beg=")</f>
        <v>#REF!</v>
      </c>
      <c r="HZ7" t="e">
        <f>AND(#REF!,"AAAAAG9/bek=")</f>
        <v>#REF!</v>
      </c>
      <c r="IA7" t="e">
        <f>AND(#REF!,"AAAAAG9/beo=")</f>
        <v>#REF!</v>
      </c>
      <c r="IB7" t="e">
        <f>AND(#REF!,"AAAAAG9/bes=")</f>
        <v>#REF!</v>
      </c>
      <c r="IC7" t="e">
        <f>AND(#REF!,"AAAAAG9/bew=")</f>
        <v>#REF!</v>
      </c>
      <c r="ID7" t="e">
        <f>AND(#REF!,"AAAAAG9/be0=")</f>
        <v>#REF!</v>
      </c>
      <c r="IE7" t="e">
        <f>AND(#REF!,"AAAAAG9/be4=")</f>
        <v>#REF!</v>
      </c>
      <c r="IF7" t="e">
        <f>AND(#REF!,"AAAAAG9/be8=")</f>
        <v>#REF!</v>
      </c>
      <c r="IG7" t="e">
        <f>AND(#REF!,"AAAAAG9/bfA=")</f>
        <v>#REF!</v>
      </c>
      <c r="IH7" t="e">
        <f>AND(#REF!,"AAAAAG9/bfE=")</f>
        <v>#REF!</v>
      </c>
      <c r="II7" t="e">
        <f>AND(#REF!,"AAAAAG9/bfI=")</f>
        <v>#REF!</v>
      </c>
      <c r="IJ7" t="e">
        <f>AND(#REF!,"AAAAAG9/bfM=")</f>
        <v>#REF!</v>
      </c>
      <c r="IK7" t="e">
        <f>AND(#REF!,"AAAAAG9/bfQ=")</f>
        <v>#REF!</v>
      </c>
      <c r="IL7" t="e">
        <f>AND(#REF!,"AAAAAG9/bfU=")</f>
        <v>#REF!</v>
      </c>
      <c r="IM7" t="e">
        <f>IF(#REF!,"AAAAAG9/bfY=",0)</f>
        <v>#REF!</v>
      </c>
      <c r="IN7" t="e">
        <f>AND(#REF!,"AAAAAG9/bfc=")</f>
        <v>#REF!</v>
      </c>
      <c r="IO7" t="e">
        <f>AND(#REF!,"AAAAAG9/bfg=")</f>
        <v>#REF!</v>
      </c>
      <c r="IP7" t="e">
        <f>AND(#REF!,"AAAAAG9/bfk=")</f>
        <v>#REF!</v>
      </c>
      <c r="IQ7" t="e">
        <f>AND(#REF!,"AAAAAG9/bfo=")</f>
        <v>#REF!</v>
      </c>
      <c r="IR7" t="e">
        <f>AND(#REF!,"AAAAAG9/bfs=")</f>
        <v>#REF!</v>
      </c>
      <c r="IS7" t="e">
        <f>AND(#REF!,"AAAAAG9/bfw=")</f>
        <v>#REF!</v>
      </c>
      <c r="IT7" t="e">
        <f>AND(#REF!,"AAAAAG9/bf0=")</f>
        <v>#REF!</v>
      </c>
      <c r="IU7" t="e">
        <f>AND(#REF!,"AAAAAG9/bf4=")</f>
        <v>#REF!</v>
      </c>
      <c r="IV7" t="e">
        <f>AND(#REF!,"AAAAAG9/bf8=")</f>
        <v>#REF!</v>
      </c>
    </row>
    <row r="8" spans="1:256">
      <c r="A8" t="e">
        <f>AND(#REF!,"AAAAAHbhZwA=")</f>
        <v>#REF!</v>
      </c>
      <c r="B8" t="e">
        <f>AND(#REF!,"AAAAAHbhZwE=")</f>
        <v>#REF!</v>
      </c>
      <c r="C8" t="e">
        <f>AND(#REF!,"AAAAAHbhZwI=")</f>
        <v>#REF!</v>
      </c>
      <c r="D8" t="e">
        <f>AND(#REF!,"AAAAAHbhZwM=")</f>
        <v>#REF!</v>
      </c>
      <c r="E8" t="e">
        <f>AND(#REF!,"AAAAAHbhZwQ=")</f>
        <v>#REF!</v>
      </c>
      <c r="F8" t="e">
        <f>AND(#REF!,"AAAAAHbhZwU=")</f>
        <v>#REF!</v>
      </c>
      <c r="G8" t="e">
        <f>AND(#REF!,"AAAAAHbhZwY=")</f>
        <v>#REF!</v>
      </c>
      <c r="H8" t="e">
        <f>AND(#REF!,"AAAAAHbhZwc=")</f>
        <v>#REF!</v>
      </c>
      <c r="I8" t="e">
        <f>AND(#REF!,"AAAAAHbhZwg=")</f>
        <v>#REF!</v>
      </c>
      <c r="J8" t="e">
        <f>AND(#REF!,"AAAAAHbhZwk=")</f>
        <v>#REF!</v>
      </c>
      <c r="K8" t="e">
        <f>AND(#REF!,"AAAAAHbhZwo=")</f>
        <v>#REF!</v>
      </c>
      <c r="L8" t="e">
        <f>AND(#REF!,"AAAAAHbhZws=")</f>
        <v>#REF!</v>
      </c>
      <c r="M8" t="e">
        <f>IF(#REF!,"AAAAAHbhZww=",0)</f>
        <v>#REF!</v>
      </c>
      <c r="N8" t="e">
        <f>AND(#REF!,"AAAAAHbhZw0=")</f>
        <v>#REF!</v>
      </c>
      <c r="O8" t="e">
        <f>AND(#REF!,"AAAAAHbhZw4=")</f>
        <v>#REF!</v>
      </c>
      <c r="P8" t="e">
        <f>AND(#REF!,"AAAAAHbhZw8=")</f>
        <v>#REF!</v>
      </c>
      <c r="Q8" t="e">
        <f>AND(#REF!,"AAAAAHbhZxA=")</f>
        <v>#REF!</v>
      </c>
      <c r="R8" t="e">
        <f>AND(#REF!,"AAAAAHbhZxE=")</f>
        <v>#REF!</v>
      </c>
      <c r="S8" t="e">
        <f>AND(#REF!,"AAAAAHbhZxI=")</f>
        <v>#REF!</v>
      </c>
      <c r="T8" t="e">
        <f>AND(#REF!,"AAAAAHbhZxM=")</f>
        <v>#REF!</v>
      </c>
      <c r="U8" t="e">
        <f>AND(#REF!,"AAAAAHbhZxQ=")</f>
        <v>#REF!</v>
      </c>
      <c r="V8" t="e">
        <f>AND(#REF!,"AAAAAHbhZxU=")</f>
        <v>#REF!</v>
      </c>
      <c r="W8" t="e">
        <f>AND(#REF!,"AAAAAHbhZxY=")</f>
        <v>#REF!</v>
      </c>
      <c r="X8" t="e">
        <f>AND(#REF!,"AAAAAHbhZxc=")</f>
        <v>#REF!</v>
      </c>
      <c r="Y8" t="e">
        <f>AND(#REF!,"AAAAAHbhZxg=")</f>
        <v>#REF!</v>
      </c>
      <c r="Z8" t="e">
        <f>AND(#REF!,"AAAAAHbhZxk=")</f>
        <v>#REF!</v>
      </c>
      <c r="AA8" t="e">
        <f>AND(#REF!,"AAAAAHbhZxo=")</f>
        <v>#REF!</v>
      </c>
      <c r="AB8" t="e">
        <f>AND(#REF!,"AAAAAHbhZxs=")</f>
        <v>#REF!</v>
      </c>
      <c r="AC8" t="e">
        <f>AND(#REF!,"AAAAAHbhZxw=")</f>
        <v>#REF!</v>
      </c>
      <c r="AD8" t="e">
        <f>AND(#REF!,"AAAAAHbhZx0=")</f>
        <v>#REF!</v>
      </c>
      <c r="AE8" t="e">
        <f>AND(#REF!,"AAAAAHbhZx4=")</f>
        <v>#REF!</v>
      </c>
      <c r="AF8" t="e">
        <f>AND(#REF!,"AAAAAHbhZx8=")</f>
        <v>#REF!</v>
      </c>
      <c r="AG8" t="e">
        <f>AND(#REF!,"AAAAAHbhZyA=")</f>
        <v>#REF!</v>
      </c>
      <c r="AH8" t="e">
        <f>AND(#REF!,"AAAAAHbhZyE=")</f>
        <v>#REF!</v>
      </c>
      <c r="AI8" t="e">
        <f>IF(#REF!,"AAAAAHbhZyI=",0)</f>
        <v>#REF!</v>
      </c>
      <c r="AJ8" t="e">
        <f>AND(#REF!,"AAAAAHbhZyM=")</f>
        <v>#REF!</v>
      </c>
      <c r="AK8" t="e">
        <f>AND(#REF!,"AAAAAHbhZyQ=")</f>
        <v>#REF!</v>
      </c>
      <c r="AL8" t="e">
        <f>AND(#REF!,"AAAAAHbhZyU=")</f>
        <v>#REF!</v>
      </c>
      <c r="AM8" t="e">
        <f>AND(#REF!,"AAAAAHbhZyY=")</f>
        <v>#REF!</v>
      </c>
      <c r="AN8" t="e">
        <f>AND(#REF!,"AAAAAHbhZyc=")</f>
        <v>#REF!</v>
      </c>
      <c r="AO8" t="e">
        <f>AND(#REF!,"AAAAAHbhZyg=")</f>
        <v>#REF!</v>
      </c>
      <c r="AP8" t="e">
        <f>AND(#REF!,"AAAAAHbhZyk=")</f>
        <v>#REF!</v>
      </c>
      <c r="AQ8" t="e">
        <f>AND(#REF!,"AAAAAHbhZyo=")</f>
        <v>#REF!</v>
      </c>
      <c r="AR8" t="e">
        <f>AND(#REF!,"AAAAAHbhZys=")</f>
        <v>#REF!</v>
      </c>
      <c r="AS8" t="e">
        <f>AND(#REF!,"AAAAAHbhZyw=")</f>
        <v>#REF!</v>
      </c>
      <c r="AT8" t="e">
        <f>AND(#REF!,"AAAAAHbhZy0=")</f>
        <v>#REF!</v>
      </c>
      <c r="AU8" t="e">
        <f>AND(#REF!,"AAAAAHbhZy4=")</f>
        <v>#REF!</v>
      </c>
      <c r="AV8" t="e">
        <f>AND(#REF!,"AAAAAHbhZy8=")</f>
        <v>#REF!</v>
      </c>
      <c r="AW8" t="e">
        <f>AND(#REF!,"AAAAAHbhZzA=")</f>
        <v>#REF!</v>
      </c>
      <c r="AX8" t="e">
        <f>AND(#REF!,"AAAAAHbhZzE=")</f>
        <v>#REF!</v>
      </c>
      <c r="AY8" t="e">
        <f>AND(#REF!,"AAAAAHbhZzI=")</f>
        <v>#REF!</v>
      </c>
      <c r="AZ8" t="e">
        <f>AND(#REF!,"AAAAAHbhZzM=")</f>
        <v>#REF!</v>
      </c>
      <c r="BA8" t="e">
        <f>AND(#REF!,"AAAAAHbhZzQ=")</f>
        <v>#REF!</v>
      </c>
      <c r="BB8" t="e">
        <f>AND(#REF!,"AAAAAHbhZzU=")</f>
        <v>#REF!</v>
      </c>
      <c r="BC8" t="e">
        <f>AND(#REF!,"AAAAAHbhZzY=")</f>
        <v>#REF!</v>
      </c>
      <c r="BD8" t="e">
        <f>AND(#REF!,"AAAAAHbhZzc=")</f>
        <v>#REF!</v>
      </c>
      <c r="BE8" t="e">
        <f>IF(#REF!,"AAAAAHbhZzg=",0)</f>
        <v>#REF!</v>
      </c>
      <c r="BF8" t="e">
        <f>AND(#REF!,"AAAAAHbhZzk=")</f>
        <v>#REF!</v>
      </c>
      <c r="BG8" t="e">
        <f>AND(#REF!,"AAAAAHbhZzo=")</f>
        <v>#REF!</v>
      </c>
      <c r="BH8" t="e">
        <f>AND(#REF!,"AAAAAHbhZzs=")</f>
        <v>#REF!</v>
      </c>
      <c r="BI8" t="e">
        <f>AND(#REF!,"AAAAAHbhZzw=")</f>
        <v>#REF!</v>
      </c>
      <c r="BJ8" t="e">
        <f>AND(#REF!,"AAAAAHbhZz0=")</f>
        <v>#REF!</v>
      </c>
      <c r="BK8" t="e">
        <f>AND(#REF!,"AAAAAHbhZz4=")</f>
        <v>#REF!</v>
      </c>
      <c r="BL8" t="e">
        <f>AND(#REF!,"AAAAAHbhZz8=")</f>
        <v>#REF!</v>
      </c>
      <c r="BM8" t="e">
        <f>AND(#REF!,"AAAAAHbhZ0A=")</f>
        <v>#REF!</v>
      </c>
      <c r="BN8" t="e">
        <f>AND(#REF!,"AAAAAHbhZ0E=")</f>
        <v>#REF!</v>
      </c>
      <c r="BO8" t="e">
        <f>AND(#REF!,"AAAAAHbhZ0I=")</f>
        <v>#REF!</v>
      </c>
      <c r="BP8" t="e">
        <f>AND(#REF!,"AAAAAHbhZ0M=")</f>
        <v>#REF!</v>
      </c>
      <c r="BQ8" t="e">
        <f>AND(#REF!,"AAAAAHbhZ0Q=")</f>
        <v>#REF!</v>
      </c>
      <c r="BR8" t="e">
        <f>AND(#REF!,"AAAAAHbhZ0U=")</f>
        <v>#REF!</v>
      </c>
      <c r="BS8" t="e">
        <f>AND(#REF!,"AAAAAHbhZ0Y=")</f>
        <v>#REF!</v>
      </c>
      <c r="BT8" t="e">
        <f>AND(#REF!,"AAAAAHbhZ0c=")</f>
        <v>#REF!</v>
      </c>
      <c r="BU8" t="e">
        <f>AND(#REF!,"AAAAAHbhZ0g=")</f>
        <v>#REF!</v>
      </c>
      <c r="BV8" t="e">
        <f>AND(#REF!,"AAAAAHbhZ0k=")</f>
        <v>#REF!</v>
      </c>
      <c r="BW8" t="e">
        <f>AND(#REF!,"AAAAAHbhZ0o=")</f>
        <v>#REF!</v>
      </c>
      <c r="BX8" t="e">
        <f>AND(#REF!,"AAAAAHbhZ0s=")</f>
        <v>#REF!</v>
      </c>
      <c r="BY8" t="e">
        <f>AND(#REF!,"AAAAAHbhZ0w=")</f>
        <v>#REF!</v>
      </c>
      <c r="BZ8" t="e">
        <f>AND(#REF!,"AAAAAHbhZ00=")</f>
        <v>#REF!</v>
      </c>
      <c r="CA8" t="e">
        <f>IF(#REF!,"AAAAAHbhZ04=",0)</f>
        <v>#REF!</v>
      </c>
      <c r="CB8" t="e">
        <f>AND(#REF!,"AAAAAHbhZ08=")</f>
        <v>#REF!</v>
      </c>
      <c r="CC8" t="e">
        <f>AND(#REF!,"AAAAAHbhZ1A=")</f>
        <v>#REF!</v>
      </c>
      <c r="CD8" t="e">
        <f>AND(#REF!,"AAAAAHbhZ1E=")</f>
        <v>#REF!</v>
      </c>
      <c r="CE8" t="e">
        <f>AND(#REF!,"AAAAAHbhZ1I=")</f>
        <v>#REF!</v>
      </c>
      <c r="CF8" t="e">
        <f>AND(#REF!,"AAAAAHbhZ1M=")</f>
        <v>#REF!</v>
      </c>
      <c r="CG8" t="e">
        <f>AND(#REF!,"AAAAAHbhZ1Q=")</f>
        <v>#REF!</v>
      </c>
      <c r="CH8" t="e">
        <f>AND(#REF!,"AAAAAHbhZ1U=")</f>
        <v>#REF!</v>
      </c>
      <c r="CI8" t="e">
        <f>AND(#REF!,"AAAAAHbhZ1Y=")</f>
        <v>#REF!</v>
      </c>
      <c r="CJ8" t="e">
        <f>AND(#REF!,"AAAAAHbhZ1c=")</f>
        <v>#REF!</v>
      </c>
      <c r="CK8" t="e">
        <f>AND(#REF!,"AAAAAHbhZ1g=")</f>
        <v>#REF!</v>
      </c>
      <c r="CL8" t="e">
        <f>AND(#REF!,"AAAAAHbhZ1k=")</f>
        <v>#REF!</v>
      </c>
      <c r="CM8" t="e">
        <f>AND(#REF!,"AAAAAHbhZ1o=")</f>
        <v>#REF!</v>
      </c>
      <c r="CN8" t="e">
        <f>AND(#REF!,"AAAAAHbhZ1s=")</f>
        <v>#REF!</v>
      </c>
      <c r="CO8" t="e">
        <f>AND(#REF!,"AAAAAHbhZ1w=")</f>
        <v>#REF!</v>
      </c>
      <c r="CP8" t="e">
        <f>AND(#REF!,"AAAAAHbhZ10=")</f>
        <v>#REF!</v>
      </c>
      <c r="CQ8" t="e">
        <f>AND(#REF!,"AAAAAHbhZ14=")</f>
        <v>#REF!</v>
      </c>
      <c r="CR8" t="e">
        <f>AND(#REF!,"AAAAAHbhZ18=")</f>
        <v>#REF!</v>
      </c>
      <c r="CS8" t="e">
        <f>AND(#REF!,"AAAAAHbhZ2A=")</f>
        <v>#REF!</v>
      </c>
      <c r="CT8" t="e">
        <f>AND(#REF!,"AAAAAHbhZ2E=")</f>
        <v>#REF!</v>
      </c>
      <c r="CU8" t="e">
        <f>AND(#REF!,"AAAAAHbhZ2I=")</f>
        <v>#REF!</v>
      </c>
      <c r="CV8" t="e">
        <f>AND(#REF!,"AAAAAHbhZ2M=")</f>
        <v>#REF!</v>
      </c>
      <c r="CW8" t="e">
        <f>IF(#REF!,"AAAAAHbhZ2Q=",0)</f>
        <v>#REF!</v>
      </c>
      <c r="CX8" t="e">
        <f>AND(#REF!,"AAAAAHbhZ2U=")</f>
        <v>#REF!</v>
      </c>
      <c r="CY8" t="e">
        <f>AND(#REF!,"AAAAAHbhZ2Y=")</f>
        <v>#REF!</v>
      </c>
      <c r="CZ8" t="e">
        <f>AND(#REF!,"AAAAAHbhZ2c=")</f>
        <v>#REF!</v>
      </c>
      <c r="DA8" t="e">
        <f>AND(#REF!,"AAAAAHbhZ2g=")</f>
        <v>#REF!</v>
      </c>
      <c r="DB8" t="e">
        <f>AND(#REF!,"AAAAAHbhZ2k=")</f>
        <v>#REF!</v>
      </c>
      <c r="DC8" t="e">
        <f>AND(#REF!,"AAAAAHbhZ2o=")</f>
        <v>#REF!</v>
      </c>
      <c r="DD8" t="e">
        <f>AND(#REF!,"AAAAAHbhZ2s=")</f>
        <v>#REF!</v>
      </c>
      <c r="DE8" t="e">
        <f>AND(#REF!,"AAAAAHbhZ2w=")</f>
        <v>#REF!</v>
      </c>
      <c r="DF8" t="e">
        <f>AND(#REF!,"AAAAAHbhZ20=")</f>
        <v>#REF!</v>
      </c>
      <c r="DG8" t="e">
        <f>AND(#REF!,"AAAAAHbhZ24=")</f>
        <v>#REF!</v>
      </c>
      <c r="DH8" t="e">
        <f>AND(#REF!,"AAAAAHbhZ28=")</f>
        <v>#REF!</v>
      </c>
      <c r="DI8" t="e">
        <f>AND(#REF!,"AAAAAHbhZ3A=")</f>
        <v>#REF!</v>
      </c>
      <c r="DJ8" t="e">
        <f>AND(#REF!,"AAAAAHbhZ3E=")</f>
        <v>#REF!</v>
      </c>
      <c r="DK8" t="e">
        <f>AND(#REF!,"AAAAAHbhZ3I=")</f>
        <v>#REF!</v>
      </c>
      <c r="DL8" t="e">
        <f>AND(#REF!,"AAAAAHbhZ3M=")</f>
        <v>#REF!</v>
      </c>
      <c r="DM8" t="e">
        <f>AND(#REF!,"AAAAAHbhZ3Q=")</f>
        <v>#REF!</v>
      </c>
      <c r="DN8" t="e">
        <f>AND(#REF!,"AAAAAHbhZ3U=")</f>
        <v>#REF!</v>
      </c>
      <c r="DO8" t="e">
        <f>AND(#REF!,"AAAAAHbhZ3Y=")</f>
        <v>#REF!</v>
      </c>
      <c r="DP8" t="e">
        <f>AND(#REF!,"AAAAAHbhZ3c=")</f>
        <v>#REF!</v>
      </c>
      <c r="DQ8" t="e">
        <f>AND(#REF!,"AAAAAHbhZ3g=")</f>
        <v>#REF!</v>
      </c>
      <c r="DR8" t="e">
        <f>AND(#REF!,"AAAAAHbhZ3k=")</f>
        <v>#REF!</v>
      </c>
      <c r="DS8" t="e">
        <f>IF(#REF!,"AAAAAHbhZ3o=",0)</f>
        <v>#REF!</v>
      </c>
      <c r="DT8" t="e">
        <f>AND(#REF!,"AAAAAHbhZ3s=")</f>
        <v>#REF!</v>
      </c>
      <c r="DU8" t="e">
        <f>AND(#REF!,"AAAAAHbhZ3w=")</f>
        <v>#REF!</v>
      </c>
      <c r="DV8" t="e">
        <f>AND(#REF!,"AAAAAHbhZ30=")</f>
        <v>#REF!</v>
      </c>
      <c r="DW8" t="e">
        <f>AND(#REF!,"AAAAAHbhZ34=")</f>
        <v>#REF!</v>
      </c>
      <c r="DX8" t="e">
        <f>AND(#REF!,"AAAAAHbhZ38=")</f>
        <v>#REF!</v>
      </c>
      <c r="DY8" t="e">
        <f>AND(#REF!,"AAAAAHbhZ4A=")</f>
        <v>#REF!</v>
      </c>
      <c r="DZ8" t="e">
        <f>AND(#REF!,"AAAAAHbhZ4E=")</f>
        <v>#REF!</v>
      </c>
      <c r="EA8" t="e">
        <f>AND(#REF!,"AAAAAHbhZ4I=")</f>
        <v>#REF!</v>
      </c>
      <c r="EB8" t="e">
        <f>AND(#REF!,"AAAAAHbhZ4M=")</f>
        <v>#REF!</v>
      </c>
      <c r="EC8" t="e">
        <f>AND(#REF!,"AAAAAHbhZ4Q=")</f>
        <v>#REF!</v>
      </c>
      <c r="ED8" t="e">
        <f>AND(#REF!,"AAAAAHbhZ4U=")</f>
        <v>#REF!</v>
      </c>
      <c r="EE8" t="e">
        <f>AND(#REF!,"AAAAAHbhZ4Y=")</f>
        <v>#REF!</v>
      </c>
      <c r="EF8" t="e">
        <f>AND(#REF!,"AAAAAHbhZ4c=")</f>
        <v>#REF!</v>
      </c>
      <c r="EG8" t="e">
        <f>AND(#REF!,"AAAAAHbhZ4g=")</f>
        <v>#REF!</v>
      </c>
      <c r="EH8" t="e">
        <f>AND(#REF!,"AAAAAHbhZ4k=")</f>
        <v>#REF!</v>
      </c>
      <c r="EI8" t="e">
        <f>AND(#REF!,"AAAAAHbhZ4o=")</f>
        <v>#REF!</v>
      </c>
      <c r="EJ8" t="e">
        <f>AND(#REF!,"AAAAAHbhZ4s=")</f>
        <v>#REF!</v>
      </c>
      <c r="EK8" t="e">
        <f>AND(#REF!,"AAAAAHbhZ4w=")</f>
        <v>#REF!</v>
      </c>
      <c r="EL8" t="e">
        <f>AND(#REF!,"AAAAAHbhZ40=")</f>
        <v>#REF!</v>
      </c>
      <c r="EM8" t="e">
        <f>AND(#REF!,"AAAAAHbhZ44=")</f>
        <v>#REF!</v>
      </c>
      <c r="EN8" t="e">
        <f>AND(#REF!,"AAAAAHbhZ48=")</f>
        <v>#REF!</v>
      </c>
      <c r="EO8" t="e">
        <f>IF(#REF!,"AAAAAHbhZ5A=",0)</f>
        <v>#REF!</v>
      </c>
      <c r="EP8" t="e">
        <f>AND(#REF!,"AAAAAHbhZ5E=")</f>
        <v>#REF!</v>
      </c>
      <c r="EQ8" t="e">
        <f>AND(#REF!,"AAAAAHbhZ5I=")</f>
        <v>#REF!</v>
      </c>
      <c r="ER8" t="e">
        <f>AND(#REF!,"AAAAAHbhZ5M=")</f>
        <v>#REF!</v>
      </c>
      <c r="ES8" t="e">
        <f>AND(#REF!,"AAAAAHbhZ5Q=")</f>
        <v>#REF!</v>
      </c>
      <c r="ET8" t="e">
        <f>AND(#REF!,"AAAAAHbhZ5U=")</f>
        <v>#REF!</v>
      </c>
      <c r="EU8" t="e">
        <f>AND(#REF!,"AAAAAHbhZ5Y=")</f>
        <v>#REF!</v>
      </c>
      <c r="EV8" t="e">
        <f>AND(#REF!,"AAAAAHbhZ5c=")</f>
        <v>#REF!</v>
      </c>
      <c r="EW8" t="e">
        <f>AND(#REF!,"AAAAAHbhZ5g=")</f>
        <v>#REF!</v>
      </c>
      <c r="EX8" t="e">
        <f>AND(#REF!,"AAAAAHbhZ5k=")</f>
        <v>#REF!</v>
      </c>
      <c r="EY8" t="e">
        <f>AND(#REF!,"AAAAAHbhZ5o=")</f>
        <v>#REF!</v>
      </c>
      <c r="EZ8" t="e">
        <f>AND(#REF!,"AAAAAHbhZ5s=")</f>
        <v>#REF!</v>
      </c>
      <c r="FA8" t="e">
        <f>AND(#REF!,"AAAAAHbhZ5w=")</f>
        <v>#REF!</v>
      </c>
      <c r="FB8" t="e">
        <f>AND(#REF!,"AAAAAHbhZ50=")</f>
        <v>#REF!</v>
      </c>
      <c r="FC8" t="e">
        <f>AND(#REF!,"AAAAAHbhZ54=")</f>
        <v>#REF!</v>
      </c>
      <c r="FD8" t="e">
        <f>AND(#REF!,"AAAAAHbhZ58=")</f>
        <v>#REF!</v>
      </c>
      <c r="FE8" t="e">
        <f>AND(#REF!,"AAAAAHbhZ6A=")</f>
        <v>#REF!</v>
      </c>
      <c r="FF8" t="e">
        <f>AND(#REF!,"AAAAAHbhZ6E=")</f>
        <v>#REF!</v>
      </c>
      <c r="FG8" t="e">
        <f>AND(#REF!,"AAAAAHbhZ6I=")</f>
        <v>#REF!</v>
      </c>
      <c r="FH8" t="e">
        <f>AND(#REF!,"AAAAAHbhZ6M=")</f>
        <v>#REF!</v>
      </c>
      <c r="FI8" t="e">
        <f>AND(#REF!,"AAAAAHbhZ6Q=")</f>
        <v>#REF!</v>
      </c>
      <c r="FJ8" t="e">
        <f>AND(#REF!,"AAAAAHbhZ6U=")</f>
        <v>#REF!</v>
      </c>
      <c r="FK8" t="e">
        <f>IF(#REF!,"AAAAAHbhZ6Y=",0)</f>
        <v>#REF!</v>
      </c>
      <c r="FL8" t="e">
        <f>AND(#REF!,"AAAAAHbhZ6c=")</f>
        <v>#REF!</v>
      </c>
      <c r="FM8" t="e">
        <f>AND(#REF!,"AAAAAHbhZ6g=")</f>
        <v>#REF!</v>
      </c>
      <c r="FN8" t="e">
        <f>AND(#REF!,"AAAAAHbhZ6k=")</f>
        <v>#REF!</v>
      </c>
      <c r="FO8" t="e">
        <f>AND(#REF!,"AAAAAHbhZ6o=")</f>
        <v>#REF!</v>
      </c>
      <c r="FP8" t="e">
        <f>AND(#REF!,"AAAAAHbhZ6s=")</f>
        <v>#REF!</v>
      </c>
      <c r="FQ8" t="e">
        <f>AND(#REF!,"AAAAAHbhZ6w=")</f>
        <v>#REF!</v>
      </c>
      <c r="FR8" t="e">
        <f>AND(#REF!,"AAAAAHbhZ60=")</f>
        <v>#REF!</v>
      </c>
      <c r="FS8" t="e">
        <f>AND(#REF!,"AAAAAHbhZ64=")</f>
        <v>#REF!</v>
      </c>
      <c r="FT8" t="e">
        <f>AND(#REF!,"AAAAAHbhZ68=")</f>
        <v>#REF!</v>
      </c>
      <c r="FU8" t="e">
        <f>AND(#REF!,"AAAAAHbhZ7A=")</f>
        <v>#REF!</v>
      </c>
      <c r="FV8" t="e">
        <f>AND(#REF!,"AAAAAHbhZ7E=")</f>
        <v>#REF!</v>
      </c>
      <c r="FW8" t="e">
        <f>AND(#REF!,"AAAAAHbhZ7I=")</f>
        <v>#REF!</v>
      </c>
      <c r="FX8" t="e">
        <f>AND(#REF!,"AAAAAHbhZ7M=")</f>
        <v>#REF!</v>
      </c>
      <c r="FY8" t="e">
        <f>AND(#REF!,"AAAAAHbhZ7Q=")</f>
        <v>#REF!</v>
      </c>
      <c r="FZ8" t="e">
        <f>AND(#REF!,"AAAAAHbhZ7U=")</f>
        <v>#REF!</v>
      </c>
      <c r="GA8" t="e">
        <f>AND(#REF!,"AAAAAHbhZ7Y=")</f>
        <v>#REF!</v>
      </c>
      <c r="GB8" t="e">
        <f>AND(#REF!,"AAAAAHbhZ7c=")</f>
        <v>#REF!</v>
      </c>
      <c r="GC8" t="e">
        <f>AND(#REF!,"AAAAAHbhZ7g=")</f>
        <v>#REF!</v>
      </c>
      <c r="GD8" t="e">
        <f>AND(#REF!,"AAAAAHbhZ7k=")</f>
        <v>#REF!</v>
      </c>
      <c r="GE8" t="e">
        <f>AND(#REF!,"AAAAAHbhZ7o=")</f>
        <v>#REF!</v>
      </c>
      <c r="GF8" t="e">
        <f>AND(#REF!,"AAAAAHbhZ7s=")</f>
        <v>#REF!</v>
      </c>
      <c r="GG8" t="e">
        <f>IF(#REF!,"AAAAAHbhZ7w=",0)</f>
        <v>#REF!</v>
      </c>
      <c r="GH8" t="e">
        <f>AND(#REF!,"AAAAAHbhZ70=")</f>
        <v>#REF!</v>
      </c>
      <c r="GI8" t="e">
        <f>AND(#REF!,"AAAAAHbhZ74=")</f>
        <v>#REF!</v>
      </c>
      <c r="GJ8" t="e">
        <f>AND(#REF!,"AAAAAHbhZ78=")</f>
        <v>#REF!</v>
      </c>
      <c r="GK8" t="e">
        <f>AND(#REF!,"AAAAAHbhZ8A=")</f>
        <v>#REF!</v>
      </c>
      <c r="GL8" t="e">
        <f>AND(#REF!,"AAAAAHbhZ8E=")</f>
        <v>#REF!</v>
      </c>
      <c r="GM8" t="e">
        <f>AND(#REF!,"AAAAAHbhZ8I=")</f>
        <v>#REF!</v>
      </c>
      <c r="GN8" t="e">
        <f>AND(#REF!,"AAAAAHbhZ8M=")</f>
        <v>#REF!</v>
      </c>
      <c r="GO8" t="e">
        <f>AND(#REF!,"AAAAAHbhZ8Q=")</f>
        <v>#REF!</v>
      </c>
      <c r="GP8" t="e">
        <f>AND(#REF!,"AAAAAHbhZ8U=")</f>
        <v>#REF!</v>
      </c>
      <c r="GQ8" t="e">
        <f>AND(#REF!,"AAAAAHbhZ8Y=")</f>
        <v>#REF!</v>
      </c>
      <c r="GR8" t="e">
        <f>AND(#REF!,"AAAAAHbhZ8c=")</f>
        <v>#REF!</v>
      </c>
      <c r="GS8" t="e">
        <f>AND(#REF!,"AAAAAHbhZ8g=")</f>
        <v>#REF!</v>
      </c>
      <c r="GT8" t="e">
        <f>AND(#REF!,"AAAAAHbhZ8k=")</f>
        <v>#REF!</v>
      </c>
      <c r="GU8" t="e">
        <f>AND(#REF!,"AAAAAHbhZ8o=")</f>
        <v>#REF!</v>
      </c>
      <c r="GV8" t="e">
        <f>AND(#REF!,"AAAAAHbhZ8s=")</f>
        <v>#REF!</v>
      </c>
      <c r="GW8" t="e">
        <f>AND(#REF!,"AAAAAHbhZ8w=")</f>
        <v>#REF!</v>
      </c>
      <c r="GX8" t="e">
        <f>AND(#REF!,"AAAAAHbhZ80=")</f>
        <v>#REF!</v>
      </c>
      <c r="GY8" t="e">
        <f>AND(#REF!,"AAAAAHbhZ84=")</f>
        <v>#REF!</v>
      </c>
      <c r="GZ8" t="e">
        <f>AND(#REF!,"AAAAAHbhZ88=")</f>
        <v>#REF!</v>
      </c>
      <c r="HA8" t="e">
        <f>AND(#REF!,"AAAAAHbhZ9A=")</f>
        <v>#REF!</v>
      </c>
      <c r="HB8" t="e">
        <f>AND(#REF!,"AAAAAHbhZ9E=")</f>
        <v>#REF!</v>
      </c>
      <c r="HC8" t="e">
        <f>IF(#REF!,"AAAAAHbhZ9I=",0)</f>
        <v>#REF!</v>
      </c>
      <c r="HD8" t="e">
        <f>AND(#REF!,"AAAAAHbhZ9M=")</f>
        <v>#REF!</v>
      </c>
      <c r="HE8" t="e">
        <f>AND(#REF!,"AAAAAHbhZ9Q=")</f>
        <v>#REF!</v>
      </c>
      <c r="HF8" t="e">
        <f>AND(#REF!,"AAAAAHbhZ9U=")</f>
        <v>#REF!</v>
      </c>
      <c r="HG8" t="e">
        <f>AND(#REF!,"AAAAAHbhZ9Y=")</f>
        <v>#REF!</v>
      </c>
      <c r="HH8" t="e">
        <f>AND(#REF!,"AAAAAHbhZ9c=")</f>
        <v>#REF!</v>
      </c>
      <c r="HI8" t="e">
        <f>AND(#REF!,"AAAAAHbhZ9g=")</f>
        <v>#REF!</v>
      </c>
      <c r="HJ8" t="e">
        <f>AND(#REF!,"AAAAAHbhZ9k=")</f>
        <v>#REF!</v>
      </c>
      <c r="HK8" t="e">
        <f>AND(#REF!,"AAAAAHbhZ9o=")</f>
        <v>#REF!</v>
      </c>
      <c r="HL8" t="e">
        <f>AND(#REF!,"AAAAAHbhZ9s=")</f>
        <v>#REF!</v>
      </c>
      <c r="HM8" t="e">
        <f>AND(#REF!,"AAAAAHbhZ9w=")</f>
        <v>#REF!</v>
      </c>
      <c r="HN8" t="e">
        <f>AND(#REF!,"AAAAAHbhZ90=")</f>
        <v>#REF!</v>
      </c>
      <c r="HO8" t="e">
        <f>AND(#REF!,"AAAAAHbhZ94=")</f>
        <v>#REF!</v>
      </c>
      <c r="HP8" t="e">
        <f>AND(#REF!,"AAAAAHbhZ98=")</f>
        <v>#REF!</v>
      </c>
      <c r="HQ8" t="e">
        <f>AND(#REF!,"AAAAAHbhZ+A=")</f>
        <v>#REF!</v>
      </c>
      <c r="HR8" t="e">
        <f>AND(#REF!,"AAAAAHbhZ+E=")</f>
        <v>#REF!</v>
      </c>
      <c r="HS8" t="e">
        <f>AND(#REF!,"AAAAAHbhZ+I=")</f>
        <v>#REF!</v>
      </c>
      <c r="HT8" t="e">
        <f>AND(#REF!,"AAAAAHbhZ+M=")</f>
        <v>#REF!</v>
      </c>
      <c r="HU8" t="e">
        <f>AND(#REF!,"AAAAAHbhZ+Q=")</f>
        <v>#REF!</v>
      </c>
      <c r="HV8" t="e">
        <f>AND(#REF!,"AAAAAHbhZ+U=")</f>
        <v>#REF!</v>
      </c>
      <c r="HW8" t="e">
        <f>AND(#REF!,"AAAAAHbhZ+Y=")</f>
        <v>#REF!</v>
      </c>
      <c r="HX8" t="e">
        <f>AND(#REF!,"AAAAAHbhZ+c=")</f>
        <v>#REF!</v>
      </c>
      <c r="HY8" t="e">
        <f>IF(#REF!,"AAAAAHbhZ+g=",0)</f>
        <v>#REF!</v>
      </c>
      <c r="HZ8" t="e">
        <f>AND(#REF!,"AAAAAHbhZ+k=")</f>
        <v>#REF!</v>
      </c>
      <c r="IA8" t="e">
        <f>AND(#REF!,"AAAAAHbhZ+o=")</f>
        <v>#REF!</v>
      </c>
      <c r="IB8" t="e">
        <f>AND(#REF!,"AAAAAHbhZ+s=")</f>
        <v>#REF!</v>
      </c>
      <c r="IC8" t="e">
        <f>AND(#REF!,"AAAAAHbhZ+w=")</f>
        <v>#REF!</v>
      </c>
      <c r="ID8" t="e">
        <f>AND(#REF!,"AAAAAHbhZ+0=")</f>
        <v>#REF!</v>
      </c>
      <c r="IE8" t="e">
        <f>AND(#REF!,"AAAAAHbhZ+4=")</f>
        <v>#REF!</v>
      </c>
      <c r="IF8" t="e">
        <f>AND(#REF!,"AAAAAHbhZ+8=")</f>
        <v>#REF!</v>
      </c>
      <c r="IG8" t="e">
        <f>AND(#REF!,"AAAAAHbhZ/A=")</f>
        <v>#REF!</v>
      </c>
      <c r="IH8" t="e">
        <f>AND(#REF!,"AAAAAHbhZ/E=")</f>
        <v>#REF!</v>
      </c>
      <c r="II8" t="e">
        <f>AND(#REF!,"AAAAAHbhZ/I=")</f>
        <v>#REF!</v>
      </c>
      <c r="IJ8" t="e">
        <f>AND(#REF!,"AAAAAHbhZ/M=")</f>
        <v>#REF!</v>
      </c>
      <c r="IK8" t="e">
        <f>AND(#REF!,"AAAAAHbhZ/Q=")</f>
        <v>#REF!</v>
      </c>
      <c r="IL8" t="e">
        <f>AND(#REF!,"AAAAAHbhZ/U=")</f>
        <v>#REF!</v>
      </c>
      <c r="IM8" t="e">
        <f>AND(#REF!,"AAAAAHbhZ/Y=")</f>
        <v>#REF!</v>
      </c>
      <c r="IN8" t="e">
        <f>AND(#REF!,"AAAAAHbhZ/c=")</f>
        <v>#REF!</v>
      </c>
      <c r="IO8" t="e">
        <f>AND(#REF!,"AAAAAHbhZ/g=")</f>
        <v>#REF!</v>
      </c>
      <c r="IP8" t="e">
        <f>AND(#REF!,"AAAAAHbhZ/k=")</f>
        <v>#REF!</v>
      </c>
      <c r="IQ8" t="e">
        <f>AND(#REF!,"AAAAAHbhZ/o=")</f>
        <v>#REF!</v>
      </c>
      <c r="IR8" t="e">
        <f>AND(#REF!,"AAAAAHbhZ/s=")</f>
        <v>#REF!</v>
      </c>
      <c r="IS8" t="e">
        <f>AND(#REF!,"AAAAAHbhZ/w=")</f>
        <v>#REF!</v>
      </c>
      <c r="IT8" t="e">
        <f>AND(#REF!,"AAAAAHbhZ/0=")</f>
        <v>#REF!</v>
      </c>
      <c r="IU8" t="e">
        <f>IF(#REF!,"AAAAAHbhZ/4=",0)</f>
        <v>#REF!</v>
      </c>
      <c r="IV8" t="e">
        <f>AND(#REF!,"AAAAAHbhZ/8=")</f>
        <v>#REF!</v>
      </c>
    </row>
    <row r="9" spans="1:256">
      <c r="A9" t="e">
        <f>AND(#REF!,"AAAAAD7S3wA=")</f>
        <v>#REF!</v>
      </c>
      <c r="B9" t="e">
        <f>AND(#REF!,"AAAAAD7S3wE=")</f>
        <v>#REF!</v>
      </c>
      <c r="C9" t="e">
        <f>AND(#REF!,"AAAAAD7S3wI=")</f>
        <v>#REF!</v>
      </c>
      <c r="D9" t="e">
        <f>AND(#REF!,"AAAAAD7S3wM=")</f>
        <v>#REF!</v>
      </c>
      <c r="E9" t="e">
        <f>AND(#REF!,"AAAAAD7S3wQ=")</f>
        <v>#REF!</v>
      </c>
      <c r="F9" t="e">
        <f>AND(#REF!,"AAAAAD7S3wU=")</f>
        <v>#REF!</v>
      </c>
      <c r="G9" t="e">
        <f>AND(#REF!,"AAAAAD7S3wY=")</f>
        <v>#REF!</v>
      </c>
      <c r="H9" t="e">
        <f>AND(#REF!,"AAAAAD7S3wc=")</f>
        <v>#REF!</v>
      </c>
      <c r="I9" t="e">
        <f>AND(#REF!,"AAAAAD7S3wg=")</f>
        <v>#REF!</v>
      </c>
      <c r="J9" t="e">
        <f>AND(#REF!,"AAAAAD7S3wk=")</f>
        <v>#REF!</v>
      </c>
      <c r="K9" t="e">
        <f>AND(#REF!,"AAAAAD7S3wo=")</f>
        <v>#REF!</v>
      </c>
      <c r="L9" t="e">
        <f>AND(#REF!,"AAAAAD7S3ws=")</f>
        <v>#REF!</v>
      </c>
      <c r="M9" t="e">
        <f>AND(#REF!,"AAAAAD7S3ww=")</f>
        <v>#REF!</v>
      </c>
      <c r="N9" t="e">
        <f>AND(#REF!,"AAAAAD7S3w0=")</f>
        <v>#REF!</v>
      </c>
      <c r="O9" t="e">
        <f>AND(#REF!,"AAAAAD7S3w4=")</f>
        <v>#REF!</v>
      </c>
      <c r="P9" t="e">
        <f>AND(#REF!,"AAAAAD7S3w8=")</f>
        <v>#REF!</v>
      </c>
      <c r="Q9" t="e">
        <f>AND(#REF!,"AAAAAD7S3xA=")</f>
        <v>#REF!</v>
      </c>
      <c r="R9" t="e">
        <f>AND(#REF!,"AAAAAD7S3xE=")</f>
        <v>#REF!</v>
      </c>
      <c r="S9" t="e">
        <f>AND(#REF!,"AAAAAD7S3xI=")</f>
        <v>#REF!</v>
      </c>
      <c r="T9" t="e">
        <f>AND(#REF!,"AAAAAD7S3xM=")</f>
        <v>#REF!</v>
      </c>
      <c r="U9" t="e">
        <f>IF(#REF!,"AAAAAD7S3xQ=",0)</f>
        <v>#REF!</v>
      </c>
      <c r="V9" t="e">
        <f>AND(#REF!,"AAAAAD7S3xU=")</f>
        <v>#REF!</v>
      </c>
      <c r="W9" t="e">
        <f>AND(#REF!,"AAAAAD7S3xY=")</f>
        <v>#REF!</v>
      </c>
      <c r="X9" t="e">
        <f>AND(#REF!,"AAAAAD7S3xc=")</f>
        <v>#REF!</v>
      </c>
      <c r="Y9" t="e">
        <f>AND(#REF!,"AAAAAD7S3xg=")</f>
        <v>#REF!</v>
      </c>
      <c r="Z9" t="e">
        <f>AND(#REF!,"AAAAAD7S3xk=")</f>
        <v>#REF!</v>
      </c>
      <c r="AA9" t="e">
        <f>AND(#REF!,"AAAAAD7S3xo=")</f>
        <v>#REF!</v>
      </c>
      <c r="AB9" t="e">
        <f>AND(#REF!,"AAAAAD7S3xs=")</f>
        <v>#REF!</v>
      </c>
      <c r="AC9" t="e">
        <f>AND(#REF!,"AAAAAD7S3xw=")</f>
        <v>#REF!</v>
      </c>
      <c r="AD9" t="e">
        <f>AND(#REF!,"AAAAAD7S3x0=")</f>
        <v>#REF!</v>
      </c>
      <c r="AE9" t="e">
        <f>AND(#REF!,"AAAAAD7S3x4=")</f>
        <v>#REF!</v>
      </c>
      <c r="AF9" t="e">
        <f>AND(#REF!,"AAAAAD7S3x8=")</f>
        <v>#REF!</v>
      </c>
      <c r="AG9" t="e">
        <f>AND(#REF!,"AAAAAD7S3yA=")</f>
        <v>#REF!</v>
      </c>
      <c r="AH9" t="e">
        <f>AND(#REF!,"AAAAAD7S3yE=")</f>
        <v>#REF!</v>
      </c>
      <c r="AI9" t="e">
        <f>AND(#REF!,"AAAAAD7S3yI=")</f>
        <v>#REF!</v>
      </c>
      <c r="AJ9" t="e">
        <f>AND(#REF!,"AAAAAD7S3yM=")</f>
        <v>#REF!</v>
      </c>
      <c r="AK9" t="e">
        <f>AND(#REF!,"AAAAAD7S3yQ=")</f>
        <v>#REF!</v>
      </c>
      <c r="AL9" t="e">
        <f>AND(#REF!,"AAAAAD7S3yU=")</f>
        <v>#REF!</v>
      </c>
      <c r="AM9" t="e">
        <f>AND(#REF!,"AAAAAD7S3yY=")</f>
        <v>#REF!</v>
      </c>
      <c r="AN9" t="e">
        <f>AND(#REF!,"AAAAAD7S3yc=")</f>
        <v>#REF!</v>
      </c>
      <c r="AO9" t="e">
        <f>AND(#REF!,"AAAAAD7S3yg=")</f>
        <v>#REF!</v>
      </c>
      <c r="AP9" t="e">
        <f>AND(#REF!,"AAAAAD7S3yk=")</f>
        <v>#REF!</v>
      </c>
      <c r="AQ9" t="e">
        <f>IF(#REF!,"AAAAAD7S3yo=",0)</f>
        <v>#REF!</v>
      </c>
      <c r="AR9" t="e">
        <f>AND(#REF!,"AAAAAD7S3ys=")</f>
        <v>#REF!</v>
      </c>
      <c r="AS9" t="e">
        <f>AND(#REF!,"AAAAAD7S3yw=")</f>
        <v>#REF!</v>
      </c>
      <c r="AT9" t="e">
        <f>AND(#REF!,"AAAAAD7S3y0=")</f>
        <v>#REF!</v>
      </c>
      <c r="AU9" t="e">
        <f>AND(#REF!,"AAAAAD7S3y4=")</f>
        <v>#REF!</v>
      </c>
      <c r="AV9" t="e">
        <f>AND(#REF!,"AAAAAD7S3y8=")</f>
        <v>#REF!</v>
      </c>
      <c r="AW9" t="e">
        <f>AND(#REF!,"AAAAAD7S3zA=")</f>
        <v>#REF!</v>
      </c>
      <c r="AX9" t="e">
        <f>AND(#REF!,"AAAAAD7S3zE=")</f>
        <v>#REF!</v>
      </c>
      <c r="AY9" t="e">
        <f>AND(#REF!,"AAAAAD7S3zI=")</f>
        <v>#REF!</v>
      </c>
      <c r="AZ9" t="e">
        <f>AND(#REF!,"AAAAAD7S3zM=")</f>
        <v>#REF!</v>
      </c>
      <c r="BA9" t="e">
        <f>AND(#REF!,"AAAAAD7S3zQ=")</f>
        <v>#REF!</v>
      </c>
      <c r="BB9" t="e">
        <f>AND(#REF!,"AAAAAD7S3zU=")</f>
        <v>#REF!</v>
      </c>
      <c r="BC9" t="e">
        <f>AND(#REF!,"AAAAAD7S3zY=")</f>
        <v>#REF!</v>
      </c>
      <c r="BD9" t="e">
        <f>AND(#REF!,"AAAAAD7S3zc=")</f>
        <v>#REF!</v>
      </c>
      <c r="BE9" t="e">
        <f>AND(#REF!,"AAAAAD7S3zg=")</f>
        <v>#REF!</v>
      </c>
      <c r="BF9" t="e">
        <f>AND(#REF!,"AAAAAD7S3zk=")</f>
        <v>#REF!</v>
      </c>
      <c r="BG9" t="e">
        <f>AND(#REF!,"AAAAAD7S3zo=")</f>
        <v>#REF!</v>
      </c>
      <c r="BH9" t="e">
        <f>AND(#REF!,"AAAAAD7S3zs=")</f>
        <v>#REF!</v>
      </c>
      <c r="BI9" t="e">
        <f>AND(#REF!,"AAAAAD7S3zw=")</f>
        <v>#REF!</v>
      </c>
      <c r="BJ9" t="e">
        <f>AND(#REF!,"AAAAAD7S3z0=")</f>
        <v>#REF!</v>
      </c>
      <c r="BK9" t="e">
        <f>AND(#REF!,"AAAAAD7S3z4=")</f>
        <v>#REF!</v>
      </c>
      <c r="BL9" t="e">
        <f>AND(#REF!,"AAAAAD7S3z8=")</f>
        <v>#REF!</v>
      </c>
      <c r="BM9" t="e">
        <f>IF(#REF!,"AAAAAD7S30A=",0)</f>
        <v>#REF!</v>
      </c>
      <c r="BN9" t="e">
        <f>AND(#REF!,"AAAAAD7S30E=")</f>
        <v>#REF!</v>
      </c>
      <c r="BO9" t="e">
        <f>AND(#REF!,"AAAAAD7S30I=")</f>
        <v>#REF!</v>
      </c>
      <c r="BP9" t="e">
        <f>AND(#REF!,"AAAAAD7S30M=")</f>
        <v>#REF!</v>
      </c>
      <c r="BQ9" t="e">
        <f>AND(#REF!,"AAAAAD7S30Q=")</f>
        <v>#REF!</v>
      </c>
      <c r="BR9" t="e">
        <f>AND(#REF!,"AAAAAD7S30U=")</f>
        <v>#REF!</v>
      </c>
      <c r="BS9" t="e">
        <f>AND(#REF!,"AAAAAD7S30Y=")</f>
        <v>#REF!</v>
      </c>
      <c r="BT9" t="e">
        <f>AND(#REF!,"AAAAAD7S30c=")</f>
        <v>#REF!</v>
      </c>
      <c r="BU9" t="e">
        <f>AND(#REF!,"AAAAAD7S30g=")</f>
        <v>#REF!</v>
      </c>
      <c r="BV9" t="e">
        <f>AND(#REF!,"AAAAAD7S30k=")</f>
        <v>#REF!</v>
      </c>
      <c r="BW9" t="e">
        <f>AND(#REF!,"AAAAAD7S30o=")</f>
        <v>#REF!</v>
      </c>
      <c r="BX9" t="e">
        <f>AND(#REF!,"AAAAAD7S30s=")</f>
        <v>#REF!</v>
      </c>
      <c r="BY9" t="e">
        <f>AND(#REF!,"AAAAAD7S30w=")</f>
        <v>#REF!</v>
      </c>
      <c r="BZ9" t="e">
        <f>AND(#REF!,"AAAAAD7S300=")</f>
        <v>#REF!</v>
      </c>
      <c r="CA9" t="e">
        <f>AND(#REF!,"AAAAAD7S304=")</f>
        <v>#REF!</v>
      </c>
      <c r="CB9" t="e">
        <f>AND(#REF!,"AAAAAD7S308=")</f>
        <v>#REF!</v>
      </c>
      <c r="CC9" t="e">
        <f>AND(#REF!,"AAAAAD7S31A=")</f>
        <v>#REF!</v>
      </c>
      <c r="CD9" t="e">
        <f>AND(#REF!,"AAAAAD7S31E=")</f>
        <v>#REF!</v>
      </c>
      <c r="CE9" t="e">
        <f>AND(#REF!,"AAAAAD7S31I=")</f>
        <v>#REF!</v>
      </c>
      <c r="CF9" t="e">
        <f>AND(#REF!,"AAAAAD7S31M=")</f>
        <v>#REF!</v>
      </c>
      <c r="CG9" t="e">
        <f>AND(#REF!,"AAAAAD7S31Q=")</f>
        <v>#REF!</v>
      </c>
      <c r="CH9" t="e">
        <f>AND(#REF!,"AAAAAD7S31U=")</f>
        <v>#REF!</v>
      </c>
      <c r="CI9" t="e">
        <f>IF(#REF!,"AAAAAD7S31Y=",0)</f>
        <v>#REF!</v>
      </c>
      <c r="CJ9" t="e">
        <f>AND(#REF!,"AAAAAD7S31c=")</f>
        <v>#REF!</v>
      </c>
      <c r="CK9" t="e">
        <f>AND(#REF!,"AAAAAD7S31g=")</f>
        <v>#REF!</v>
      </c>
      <c r="CL9" t="e">
        <f>AND(#REF!,"AAAAAD7S31k=")</f>
        <v>#REF!</v>
      </c>
      <c r="CM9" t="e">
        <f>AND(#REF!,"AAAAAD7S31o=")</f>
        <v>#REF!</v>
      </c>
      <c r="CN9" t="e">
        <f>AND(#REF!,"AAAAAD7S31s=")</f>
        <v>#REF!</v>
      </c>
      <c r="CO9" t="e">
        <f>AND(#REF!,"AAAAAD7S31w=")</f>
        <v>#REF!</v>
      </c>
      <c r="CP9" t="e">
        <f>AND(#REF!,"AAAAAD7S310=")</f>
        <v>#REF!</v>
      </c>
      <c r="CQ9" t="e">
        <f>AND(#REF!,"AAAAAD7S314=")</f>
        <v>#REF!</v>
      </c>
      <c r="CR9" t="e">
        <f>AND(#REF!,"AAAAAD7S318=")</f>
        <v>#REF!</v>
      </c>
      <c r="CS9" t="e">
        <f>AND(#REF!,"AAAAAD7S32A=")</f>
        <v>#REF!</v>
      </c>
      <c r="CT9" t="e">
        <f>AND(#REF!,"AAAAAD7S32E=")</f>
        <v>#REF!</v>
      </c>
      <c r="CU9" t="e">
        <f>AND(#REF!,"AAAAAD7S32I=")</f>
        <v>#REF!</v>
      </c>
      <c r="CV9" t="e">
        <f>AND(#REF!,"AAAAAD7S32M=")</f>
        <v>#REF!</v>
      </c>
      <c r="CW9" t="e">
        <f>AND(#REF!,"AAAAAD7S32Q=")</f>
        <v>#REF!</v>
      </c>
      <c r="CX9" t="e">
        <f>AND(#REF!,"AAAAAD7S32U=")</f>
        <v>#REF!</v>
      </c>
      <c r="CY9" t="e">
        <f>AND(#REF!,"AAAAAD7S32Y=")</f>
        <v>#REF!</v>
      </c>
      <c r="CZ9" t="e">
        <f>AND(#REF!,"AAAAAD7S32c=")</f>
        <v>#REF!</v>
      </c>
      <c r="DA9" t="e">
        <f>AND(#REF!,"AAAAAD7S32g=")</f>
        <v>#REF!</v>
      </c>
      <c r="DB9" t="e">
        <f>AND(#REF!,"AAAAAD7S32k=")</f>
        <v>#REF!</v>
      </c>
      <c r="DC9" t="e">
        <f>AND(#REF!,"AAAAAD7S32o=")</f>
        <v>#REF!</v>
      </c>
      <c r="DD9" t="e">
        <f>AND(#REF!,"AAAAAD7S32s=")</f>
        <v>#REF!</v>
      </c>
      <c r="DE9" t="e">
        <f>IF(#REF!,"AAAAAD7S32w=",0)</f>
        <v>#REF!</v>
      </c>
      <c r="DF9" t="e">
        <f>AND(#REF!,"AAAAAD7S320=")</f>
        <v>#REF!</v>
      </c>
      <c r="DG9" t="e">
        <f>AND(#REF!,"AAAAAD7S324=")</f>
        <v>#REF!</v>
      </c>
      <c r="DH9" t="e">
        <f>AND(#REF!,"AAAAAD7S328=")</f>
        <v>#REF!</v>
      </c>
      <c r="DI9" t="e">
        <f>AND(#REF!,"AAAAAD7S33A=")</f>
        <v>#REF!</v>
      </c>
      <c r="DJ9" t="e">
        <f>AND(#REF!,"AAAAAD7S33E=")</f>
        <v>#REF!</v>
      </c>
      <c r="DK9" t="e">
        <f>AND(#REF!,"AAAAAD7S33I=")</f>
        <v>#REF!</v>
      </c>
      <c r="DL9" t="e">
        <f>AND(#REF!,"AAAAAD7S33M=")</f>
        <v>#REF!</v>
      </c>
      <c r="DM9" t="e">
        <f>AND(#REF!,"AAAAAD7S33Q=")</f>
        <v>#REF!</v>
      </c>
      <c r="DN9" t="e">
        <f>AND(#REF!,"AAAAAD7S33U=")</f>
        <v>#REF!</v>
      </c>
      <c r="DO9" t="e">
        <f>AND(#REF!,"AAAAAD7S33Y=")</f>
        <v>#REF!</v>
      </c>
      <c r="DP9" t="e">
        <f>AND(#REF!,"AAAAAD7S33c=")</f>
        <v>#REF!</v>
      </c>
      <c r="DQ9" t="e">
        <f>AND(#REF!,"AAAAAD7S33g=")</f>
        <v>#REF!</v>
      </c>
      <c r="DR9" t="e">
        <f>AND(#REF!,"AAAAAD7S33k=")</f>
        <v>#REF!</v>
      </c>
      <c r="DS9" t="e">
        <f>AND(#REF!,"AAAAAD7S33o=")</f>
        <v>#REF!</v>
      </c>
      <c r="DT9" t="e">
        <f>AND(#REF!,"AAAAAD7S33s=")</f>
        <v>#REF!</v>
      </c>
      <c r="DU9" t="e">
        <f>AND(#REF!,"AAAAAD7S33w=")</f>
        <v>#REF!</v>
      </c>
      <c r="DV9" t="e">
        <f>AND(#REF!,"AAAAAD7S330=")</f>
        <v>#REF!</v>
      </c>
      <c r="DW9" t="e">
        <f>AND(#REF!,"AAAAAD7S334=")</f>
        <v>#REF!</v>
      </c>
      <c r="DX9" t="e">
        <f>AND(#REF!,"AAAAAD7S338=")</f>
        <v>#REF!</v>
      </c>
      <c r="DY9" t="e">
        <f>AND(#REF!,"AAAAAD7S34A=")</f>
        <v>#REF!</v>
      </c>
      <c r="DZ9" t="e">
        <f>AND(#REF!,"AAAAAD7S34E=")</f>
        <v>#REF!</v>
      </c>
      <c r="EA9" t="e">
        <f>IF(#REF!,"AAAAAD7S34I=",0)</f>
        <v>#REF!</v>
      </c>
      <c r="EB9" t="e">
        <f>AND(#REF!,"AAAAAD7S34M=")</f>
        <v>#REF!</v>
      </c>
      <c r="EC9" t="e">
        <f>AND(#REF!,"AAAAAD7S34Q=")</f>
        <v>#REF!</v>
      </c>
      <c r="ED9" t="e">
        <f>AND(#REF!,"AAAAAD7S34U=")</f>
        <v>#REF!</v>
      </c>
      <c r="EE9" t="e">
        <f>AND(#REF!,"AAAAAD7S34Y=")</f>
        <v>#REF!</v>
      </c>
      <c r="EF9" t="e">
        <f>AND(#REF!,"AAAAAD7S34c=")</f>
        <v>#REF!</v>
      </c>
      <c r="EG9" t="e">
        <f>AND(#REF!,"AAAAAD7S34g=")</f>
        <v>#REF!</v>
      </c>
      <c r="EH9" t="e">
        <f>AND(#REF!,"AAAAAD7S34k=")</f>
        <v>#REF!</v>
      </c>
      <c r="EI9" t="e">
        <f>AND(#REF!,"AAAAAD7S34o=")</f>
        <v>#REF!</v>
      </c>
      <c r="EJ9" t="e">
        <f>AND(#REF!,"AAAAAD7S34s=")</f>
        <v>#REF!</v>
      </c>
      <c r="EK9" t="e">
        <f>AND(#REF!,"AAAAAD7S34w=")</f>
        <v>#REF!</v>
      </c>
      <c r="EL9" t="e">
        <f>AND(#REF!,"AAAAAD7S340=")</f>
        <v>#REF!</v>
      </c>
      <c r="EM9" t="e">
        <f>AND(#REF!,"AAAAAD7S344=")</f>
        <v>#REF!</v>
      </c>
      <c r="EN9" t="e">
        <f>AND(#REF!,"AAAAAD7S348=")</f>
        <v>#REF!</v>
      </c>
      <c r="EO9" t="e">
        <f>AND(#REF!,"AAAAAD7S35A=")</f>
        <v>#REF!</v>
      </c>
      <c r="EP9" t="e">
        <f>AND(#REF!,"AAAAAD7S35E=")</f>
        <v>#REF!</v>
      </c>
      <c r="EQ9" t="e">
        <f>AND(#REF!,"AAAAAD7S35I=")</f>
        <v>#REF!</v>
      </c>
      <c r="ER9" t="e">
        <f>AND(#REF!,"AAAAAD7S35M=")</f>
        <v>#REF!</v>
      </c>
      <c r="ES9" t="e">
        <f>AND(#REF!,"AAAAAD7S35Q=")</f>
        <v>#REF!</v>
      </c>
      <c r="ET9" t="e">
        <f>AND(#REF!,"AAAAAD7S35U=")</f>
        <v>#REF!</v>
      </c>
      <c r="EU9" t="e">
        <f>AND(#REF!,"AAAAAD7S35Y=")</f>
        <v>#REF!</v>
      </c>
      <c r="EV9" t="e">
        <f>AND(#REF!,"AAAAAD7S35c=")</f>
        <v>#REF!</v>
      </c>
      <c r="EW9" t="e">
        <f>IF(#REF!,"AAAAAD7S35g=",0)</f>
        <v>#REF!</v>
      </c>
      <c r="EX9" t="e">
        <f>AND(#REF!,"AAAAAD7S35k=")</f>
        <v>#REF!</v>
      </c>
      <c r="EY9" t="e">
        <f>AND(#REF!,"AAAAAD7S35o=")</f>
        <v>#REF!</v>
      </c>
      <c r="EZ9" t="e">
        <f>AND(#REF!,"AAAAAD7S35s=")</f>
        <v>#REF!</v>
      </c>
      <c r="FA9" t="e">
        <f>AND(#REF!,"AAAAAD7S35w=")</f>
        <v>#REF!</v>
      </c>
      <c r="FB9" t="e">
        <f>AND(#REF!,"AAAAAD7S350=")</f>
        <v>#REF!</v>
      </c>
      <c r="FC9" t="e">
        <f>AND(#REF!,"AAAAAD7S354=")</f>
        <v>#REF!</v>
      </c>
      <c r="FD9" t="e">
        <f>AND(#REF!,"AAAAAD7S358=")</f>
        <v>#REF!</v>
      </c>
      <c r="FE9" t="e">
        <f>AND(#REF!,"AAAAAD7S36A=")</f>
        <v>#REF!</v>
      </c>
      <c r="FF9" t="e">
        <f>AND(#REF!,"AAAAAD7S36E=")</f>
        <v>#REF!</v>
      </c>
      <c r="FG9" t="e">
        <f>AND(#REF!,"AAAAAD7S36I=")</f>
        <v>#REF!</v>
      </c>
      <c r="FH9" t="e">
        <f>AND(#REF!,"AAAAAD7S36M=")</f>
        <v>#REF!</v>
      </c>
      <c r="FI9" t="e">
        <f>AND(#REF!,"AAAAAD7S36Q=")</f>
        <v>#REF!</v>
      </c>
      <c r="FJ9" t="e">
        <f>AND(#REF!,"AAAAAD7S36U=")</f>
        <v>#REF!</v>
      </c>
      <c r="FK9" t="e">
        <f>AND(#REF!,"AAAAAD7S36Y=")</f>
        <v>#REF!</v>
      </c>
      <c r="FL9" t="e">
        <f>AND(#REF!,"AAAAAD7S36c=")</f>
        <v>#REF!</v>
      </c>
      <c r="FM9" t="e">
        <f>AND(#REF!,"AAAAAD7S36g=")</f>
        <v>#REF!</v>
      </c>
      <c r="FN9" t="e">
        <f>AND(#REF!,"AAAAAD7S36k=")</f>
        <v>#REF!</v>
      </c>
      <c r="FO9" t="e">
        <f>AND(#REF!,"AAAAAD7S36o=")</f>
        <v>#REF!</v>
      </c>
      <c r="FP9" t="e">
        <f>AND(#REF!,"AAAAAD7S36s=")</f>
        <v>#REF!</v>
      </c>
      <c r="FQ9" t="e">
        <f>AND(#REF!,"AAAAAD7S36w=")</f>
        <v>#REF!</v>
      </c>
      <c r="FR9" t="e">
        <f>AND(#REF!,"AAAAAD7S360=")</f>
        <v>#REF!</v>
      </c>
      <c r="FS9" t="e">
        <f>IF(#REF!,"AAAAAD7S364=",0)</f>
        <v>#REF!</v>
      </c>
      <c r="FT9" t="e">
        <f>AND(#REF!,"AAAAAD7S368=")</f>
        <v>#REF!</v>
      </c>
      <c r="FU9" t="e">
        <f>AND(#REF!,"AAAAAD7S37A=")</f>
        <v>#REF!</v>
      </c>
      <c r="FV9" t="e">
        <f>AND(#REF!,"AAAAAD7S37E=")</f>
        <v>#REF!</v>
      </c>
      <c r="FW9" t="e">
        <f>AND(#REF!,"AAAAAD7S37I=")</f>
        <v>#REF!</v>
      </c>
      <c r="FX9" t="e">
        <f>AND(#REF!,"AAAAAD7S37M=")</f>
        <v>#REF!</v>
      </c>
      <c r="FY9" t="e">
        <f>AND(#REF!,"AAAAAD7S37Q=")</f>
        <v>#REF!</v>
      </c>
      <c r="FZ9" t="e">
        <f>AND(#REF!,"AAAAAD7S37U=")</f>
        <v>#REF!</v>
      </c>
      <c r="GA9" t="e">
        <f>AND(#REF!,"AAAAAD7S37Y=")</f>
        <v>#REF!</v>
      </c>
      <c r="GB9" t="e">
        <f>AND(#REF!,"AAAAAD7S37c=")</f>
        <v>#REF!</v>
      </c>
      <c r="GC9" t="e">
        <f>AND(#REF!,"AAAAAD7S37g=")</f>
        <v>#REF!</v>
      </c>
      <c r="GD9" t="e">
        <f>AND(#REF!,"AAAAAD7S37k=")</f>
        <v>#REF!</v>
      </c>
      <c r="GE9" t="e">
        <f>AND(#REF!,"AAAAAD7S37o=")</f>
        <v>#REF!</v>
      </c>
      <c r="GF9" t="e">
        <f>AND(#REF!,"AAAAAD7S37s=")</f>
        <v>#REF!</v>
      </c>
      <c r="GG9" t="e">
        <f>AND(#REF!,"AAAAAD7S37w=")</f>
        <v>#REF!</v>
      </c>
      <c r="GH9" t="e">
        <f>AND(#REF!,"AAAAAD7S370=")</f>
        <v>#REF!</v>
      </c>
      <c r="GI9" t="e">
        <f>AND(#REF!,"AAAAAD7S374=")</f>
        <v>#REF!</v>
      </c>
      <c r="GJ9" t="e">
        <f>AND(#REF!,"AAAAAD7S378=")</f>
        <v>#REF!</v>
      </c>
      <c r="GK9" t="e">
        <f>AND(#REF!,"AAAAAD7S38A=")</f>
        <v>#REF!</v>
      </c>
      <c r="GL9" t="e">
        <f>AND(#REF!,"AAAAAD7S38E=")</f>
        <v>#REF!</v>
      </c>
      <c r="GM9" t="e">
        <f>AND(#REF!,"AAAAAD7S38I=")</f>
        <v>#REF!</v>
      </c>
      <c r="GN9" t="e">
        <f>AND(#REF!,"AAAAAD7S38M=")</f>
        <v>#REF!</v>
      </c>
      <c r="GO9" t="e">
        <f>IF(#REF!,"AAAAAD7S38Q=",0)</f>
        <v>#REF!</v>
      </c>
      <c r="GP9" t="e">
        <f>AND(#REF!,"AAAAAD7S38U=")</f>
        <v>#REF!</v>
      </c>
      <c r="GQ9" t="e">
        <f>AND(#REF!,"AAAAAD7S38Y=")</f>
        <v>#REF!</v>
      </c>
      <c r="GR9" t="e">
        <f>AND(#REF!,"AAAAAD7S38c=")</f>
        <v>#REF!</v>
      </c>
      <c r="GS9" t="e">
        <f>AND(#REF!,"AAAAAD7S38g=")</f>
        <v>#REF!</v>
      </c>
      <c r="GT9" t="e">
        <f>AND(#REF!,"AAAAAD7S38k=")</f>
        <v>#REF!</v>
      </c>
      <c r="GU9" t="e">
        <f>AND(#REF!,"AAAAAD7S38o=")</f>
        <v>#REF!</v>
      </c>
      <c r="GV9" t="e">
        <f>AND(#REF!,"AAAAAD7S38s=")</f>
        <v>#REF!</v>
      </c>
      <c r="GW9" t="e">
        <f>AND(#REF!,"AAAAAD7S38w=")</f>
        <v>#REF!</v>
      </c>
      <c r="GX9" t="e">
        <f>AND(#REF!,"AAAAAD7S380=")</f>
        <v>#REF!</v>
      </c>
      <c r="GY9" t="e">
        <f>AND(#REF!,"AAAAAD7S384=")</f>
        <v>#REF!</v>
      </c>
      <c r="GZ9" t="e">
        <f>AND(#REF!,"AAAAAD7S388=")</f>
        <v>#REF!</v>
      </c>
      <c r="HA9" t="e">
        <f>AND(#REF!,"AAAAAD7S39A=")</f>
        <v>#REF!</v>
      </c>
      <c r="HB9" t="e">
        <f>AND(#REF!,"AAAAAD7S39E=")</f>
        <v>#REF!</v>
      </c>
      <c r="HC9" t="e">
        <f>AND(#REF!,"AAAAAD7S39I=")</f>
        <v>#REF!</v>
      </c>
      <c r="HD9" t="e">
        <f>AND(#REF!,"AAAAAD7S39M=")</f>
        <v>#REF!</v>
      </c>
      <c r="HE9" t="e">
        <f>AND(#REF!,"AAAAAD7S39Q=")</f>
        <v>#REF!</v>
      </c>
      <c r="HF9" t="e">
        <f>AND(#REF!,"AAAAAD7S39U=")</f>
        <v>#REF!</v>
      </c>
      <c r="HG9" t="e">
        <f>AND(#REF!,"AAAAAD7S39Y=")</f>
        <v>#REF!</v>
      </c>
      <c r="HH9" t="e">
        <f>AND(#REF!,"AAAAAD7S39c=")</f>
        <v>#REF!</v>
      </c>
      <c r="HI9" t="e">
        <f>AND(#REF!,"AAAAAD7S39g=")</f>
        <v>#REF!</v>
      </c>
      <c r="HJ9" t="e">
        <f>AND(#REF!,"AAAAAD7S39k=")</f>
        <v>#REF!</v>
      </c>
      <c r="HK9" t="e">
        <f>IF(#REF!,"AAAAAD7S39o=",0)</f>
        <v>#REF!</v>
      </c>
      <c r="HL9" t="e">
        <f>AND(#REF!,"AAAAAD7S39s=")</f>
        <v>#REF!</v>
      </c>
      <c r="HM9" t="e">
        <f>AND(#REF!,"AAAAAD7S39w=")</f>
        <v>#REF!</v>
      </c>
      <c r="HN9" t="e">
        <f>AND(#REF!,"AAAAAD7S390=")</f>
        <v>#REF!</v>
      </c>
      <c r="HO9" t="e">
        <f>AND(#REF!,"AAAAAD7S394=")</f>
        <v>#REF!</v>
      </c>
      <c r="HP9" t="e">
        <f>AND(#REF!,"AAAAAD7S398=")</f>
        <v>#REF!</v>
      </c>
      <c r="HQ9" t="e">
        <f>AND(#REF!,"AAAAAD7S3+A=")</f>
        <v>#REF!</v>
      </c>
      <c r="HR9" t="e">
        <f>AND(#REF!,"AAAAAD7S3+E=")</f>
        <v>#REF!</v>
      </c>
      <c r="HS9" t="e">
        <f>AND(#REF!,"AAAAAD7S3+I=")</f>
        <v>#REF!</v>
      </c>
      <c r="HT9" t="e">
        <f>AND(#REF!,"AAAAAD7S3+M=")</f>
        <v>#REF!</v>
      </c>
      <c r="HU9" t="e">
        <f>AND(#REF!,"AAAAAD7S3+Q=")</f>
        <v>#REF!</v>
      </c>
      <c r="HV9" t="e">
        <f>AND(#REF!,"AAAAAD7S3+U=")</f>
        <v>#REF!</v>
      </c>
      <c r="HW9" t="e">
        <f>AND(#REF!,"AAAAAD7S3+Y=")</f>
        <v>#REF!</v>
      </c>
      <c r="HX9" t="e">
        <f>AND(#REF!,"AAAAAD7S3+c=")</f>
        <v>#REF!</v>
      </c>
      <c r="HY9" t="e">
        <f>AND(#REF!,"AAAAAD7S3+g=")</f>
        <v>#REF!</v>
      </c>
      <c r="HZ9" t="e">
        <f>AND(#REF!,"AAAAAD7S3+k=")</f>
        <v>#REF!</v>
      </c>
      <c r="IA9" t="e">
        <f>AND(#REF!,"AAAAAD7S3+o=")</f>
        <v>#REF!</v>
      </c>
      <c r="IB9" t="e">
        <f>AND(#REF!,"AAAAAD7S3+s=")</f>
        <v>#REF!</v>
      </c>
      <c r="IC9" t="e">
        <f>AND(#REF!,"AAAAAD7S3+w=")</f>
        <v>#REF!</v>
      </c>
      <c r="ID9" t="e">
        <f>AND(#REF!,"AAAAAD7S3+0=")</f>
        <v>#REF!</v>
      </c>
      <c r="IE9" t="e">
        <f>AND(#REF!,"AAAAAD7S3+4=")</f>
        <v>#REF!</v>
      </c>
      <c r="IF9" t="e">
        <f>AND(#REF!,"AAAAAD7S3+8=")</f>
        <v>#REF!</v>
      </c>
      <c r="IG9" t="e">
        <f>IF(#REF!,"AAAAAD7S3/A=",0)</f>
        <v>#REF!</v>
      </c>
      <c r="IH9" t="e">
        <f>IF(#REF!,"AAAAAD7S3/E=",0)</f>
        <v>#REF!</v>
      </c>
      <c r="II9" t="e">
        <f>IF(#REF!,"AAAAAD7S3/I=",0)</f>
        <v>#REF!</v>
      </c>
      <c r="IJ9" t="e">
        <f>IF(#REF!,"AAAAAD7S3/M=",0)</f>
        <v>#REF!</v>
      </c>
      <c r="IK9" t="e">
        <f>IF(#REF!,"AAAAAD7S3/Q=",0)</f>
        <v>#REF!</v>
      </c>
      <c r="IL9" t="e">
        <f>IF(#REF!,"AAAAAD7S3/U=",0)</f>
        <v>#REF!</v>
      </c>
      <c r="IM9" t="e">
        <f>IF(#REF!,"AAAAAD7S3/Y=",0)</f>
        <v>#REF!</v>
      </c>
      <c r="IN9" t="e">
        <f>IF(#REF!,"AAAAAD7S3/c=",0)</f>
        <v>#REF!</v>
      </c>
      <c r="IO9" t="e">
        <f>IF(#REF!,"AAAAAD7S3/g=",0)</f>
        <v>#REF!</v>
      </c>
      <c r="IP9" t="e">
        <f>IF(#REF!,"AAAAAD7S3/k=",0)</f>
        <v>#REF!</v>
      </c>
      <c r="IQ9" t="e">
        <f>IF(#REF!,"AAAAAD7S3/o=",0)</f>
        <v>#REF!</v>
      </c>
      <c r="IR9" t="e">
        <f>IF(#REF!,"AAAAAD7S3/s=",0)</f>
        <v>#REF!</v>
      </c>
      <c r="IS9" t="e">
        <f>IF(#REF!,"AAAAAD7S3/w=",0)</f>
        <v>#REF!</v>
      </c>
      <c r="IT9" t="e">
        <f>IF(#REF!,"AAAAAD7S3/0=",0)</f>
        <v>#REF!</v>
      </c>
      <c r="IU9" t="e">
        <f>IF(#REF!,"AAAAAD7S3/4=",0)</f>
        <v>#REF!</v>
      </c>
      <c r="IV9" t="e">
        <f>IF(#REF!,"AAAAAD7S3/8=",0)</f>
        <v>#REF!</v>
      </c>
    </row>
    <row r="10" spans="1:256">
      <c r="A10" t="e">
        <f>IF(#REF!,"AAAAAGfr6wA=",0)</f>
        <v>#REF!</v>
      </c>
      <c r="B10" t="e">
        <f>IF(#REF!,"AAAAAGfr6wE=",0)</f>
        <v>#REF!</v>
      </c>
      <c r="C10" t="e">
        <f>IF(#REF!,"AAAAAGfr6wI=",0)</f>
        <v>#REF!</v>
      </c>
      <c r="D10" t="e">
        <f>IF(#REF!,"AAAAAGfr6wM=",0)</f>
        <v>#REF!</v>
      </c>
      <c r="E10" t="e">
        <f>IF(#REF!,"AAAAAGfr6wQ=",0)</f>
        <v>#REF!</v>
      </c>
      <c r="F10" t="e">
        <f>IF(#REF!,"AAAAAGfr6wU=",0)</f>
        <v>#REF!</v>
      </c>
      <c r="G10" t="e">
        <f>IF(#REF!,"AAAAAGfr6wY=",0)</f>
        <v>#REF!</v>
      </c>
      <c r="H10" t="e">
        <f>IF(#REF!,"AAAAAGfr6wc=",0)</f>
        <v>#REF!</v>
      </c>
      <c r="I10" t="e">
        <f>IF(#REF!,"AAAAAGfr6wg=",0)</f>
        <v>#REF!</v>
      </c>
      <c r="J10" t="e">
        <f>IF(#REF!,"AAAAAGfr6wk=",0)</f>
        <v>#REF!</v>
      </c>
      <c r="K10" t="e">
        <f>IF(#REF!,"AAAAAGfr6wo=",0)</f>
        <v>#REF!</v>
      </c>
      <c r="L10" t="e">
        <f>IF(#REF!,"AAAAAGfr6ws=",0)</f>
        <v>#REF!</v>
      </c>
      <c r="M10" t="e">
        <f>IF(#REF!,"AAAAAGfr6ww=",0)</f>
        <v>#REF!</v>
      </c>
      <c r="N10" t="e">
        <f>IF(#REF!,"AAAAAGfr6w0=",0)</f>
        <v>#REF!</v>
      </c>
      <c r="O10" t="e">
        <f>IF(#REF!,"AAAAAGfr6w4=",0)</f>
        <v>#REF!</v>
      </c>
      <c r="P10" t="e">
        <f>IF(#REF!,"AAAAAGfr6w8=",0)</f>
        <v>#REF!</v>
      </c>
      <c r="Q10" t="e">
        <f>IF(#REF!,"AAAAAGfr6xA=",0)</f>
        <v>#REF!</v>
      </c>
      <c r="R10" t="e">
        <f>IF(#REF!,"AAAAAGfr6xE=",0)</f>
        <v>#REF!</v>
      </c>
      <c r="S10" t="e">
        <f>IF(#REF!,"AAAAAGfr6xI=",0)</f>
        <v>#REF!</v>
      </c>
      <c r="T10" t="e">
        <f>IF(#REF!,"AAAAAGfr6xM=",0)</f>
        <v>#REF!</v>
      </c>
      <c r="U10" t="e">
        <f>IF(#REF!,"AAAAAGfr6xQ=",0)</f>
        <v>#REF!</v>
      </c>
      <c r="V10" t="e">
        <f>IF(#REF!,"AAAAAGfr6xU=",0)</f>
        <v>#REF!</v>
      </c>
      <c r="W10" t="e">
        <f>IF(#REF!,"AAAAAGfr6xY=",0)</f>
        <v>#REF!</v>
      </c>
      <c r="X10" t="e">
        <f>AND(#REF!,"AAAAAGfr6xc=")</f>
        <v>#REF!</v>
      </c>
      <c r="Y10" t="e">
        <f>AND(#REF!,"AAAAAGfr6xg=")</f>
        <v>#REF!</v>
      </c>
      <c r="Z10" t="e">
        <f>AND(#REF!,"AAAAAGfr6xk=")</f>
        <v>#REF!</v>
      </c>
      <c r="AA10" t="e">
        <f>AND(#REF!,"AAAAAGfr6xo=")</f>
        <v>#REF!</v>
      </c>
      <c r="AB10" t="e">
        <f>AND(#REF!,"AAAAAGfr6xs=")</f>
        <v>#REF!</v>
      </c>
      <c r="AC10" t="e">
        <f>AND(#REF!,"AAAAAGfr6xw=")</f>
        <v>#REF!</v>
      </c>
      <c r="AD10" t="e">
        <f>AND(#REF!,"AAAAAGfr6x0=")</f>
        <v>#REF!</v>
      </c>
      <c r="AE10" t="e">
        <f>AND(#REF!,"AAAAAGfr6x4=")</f>
        <v>#REF!</v>
      </c>
      <c r="AF10" t="e">
        <f>AND(#REF!,"AAAAAGfr6x8=")</f>
        <v>#REF!</v>
      </c>
      <c r="AG10" t="e">
        <f>AND(#REF!,"AAAAAGfr6yA=")</f>
        <v>#REF!</v>
      </c>
      <c r="AH10" t="e">
        <f>AND(#REF!,"AAAAAGfr6yE=")</f>
        <v>#REF!</v>
      </c>
      <c r="AI10" t="e">
        <f>AND(#REF!,"AAAAAGfr6yI=")</f>
        <v>#REF!</v>
      </c>
      <c r="AJ10" t="e">
        <f>AND(#REF!,"AAAAAGfr6yM=")</f>
        <v>#REF!</v>
      </c>
      <c r="AK10" t="e">
        <f>AND(#REF!,"AAAAAGfr6yQ=")</f>
        <v>#REF!</v>
      </c>
      <c r="AL10" t="e">
        <f>IF(#REF!,"AAAAAGfr6yU=",0)</f>
        <v>#REF!</v>
      </c>
      <c r="AM10" t="e">
        <f>AND(#REF!,"AAAAAGfr6yY=")</f>
        <v>#REF!</v>
      </c>
      <c r="AN10" t="e">
        <f>AND(#REF!,"AAAAAGfr6yc=")</f>
        <v>#REF!</v>
      </c>
      <c r="AO10" t="e">
        <f>AND(#REF!,"AAAAAGfr6yg=")</f>
        <v>#REF!</v>
      </c>
      <c r="AP10" t="e">
        <f>AND(#REF!,"AAAAAGfr6yk=")</f>
        <v>#REF!</v>
      </c>
      <c r="AQ10" t="e">
        <f>AND(#REF!,"AAAAAGfr6yo=")</f>
        <v>#REF!</v>
      </c>
      <c r="AR10" t="e">
        <f>AND(#REF!,"AAAAAGfr6ys=")</f>
        <v>#REF!</v>
      </c>
      <c r="AS10" t="e">
        <f>AND(#REF!,"AAAAAGfr6yw=")</f>
        <v>#REF!</v>
      </c>
      <c r="AT10" t="e">
        <f>AND(#REF!,"AAAAAGfr6y0=")</f>
        <v>#REF!</v>
      </c>
      <c r="AU10" t="e">
        <f>AND(#REF!,"AAAAAGfr6y4=")</f>
        <v>#REF!</v>
      </c>
      <c r="AV10" t="e">
        <f>AND(#REF!,"AAAAAGfr6y8=")</f>
        <v>#REF!</v>
      </c>
      <c r="AW10" t="e">
        <f>AND(#REF!,"AAAAAGfr6zA=")</f>
        <v>#REF!</v>
      </c>
      <c r="AX10" t="e">
        <f>AND(#REF!,"AAAAAGfr6zE=")</f>
        <v>#REF!</v>
      </c>
      <c r="AY10" t="e">
        <f>AND(#REF!,"AAAAAGfr6zI=")</f>
        <v>#REF!</v>
      </c>
      <c r="AZ10" t="e">
        <f>AND(#REF!,"AAAAAGfr6zM=")</f>
        <v>#REF!</v>
      </c>
      <c r="BA10" t="e">
        <f>IF(#REF!,"AAAAAGfr6zQ=",0)</f>
        <v>#REF!</v>
      </c>
      <c r="BB10" t="e">
        <f>AND(#REF!,"AAAAAGfr6zU=")</f>
        <v>#REF!</v>
      </c>
      <c r="BC10" t="e">
        <f>AND(#REF!,"AAAAAGfr6zY=")</f>
        <v>#REF!</v>
      </c>
      <c r="BD10" t="e">
        <f>AND(#REF!,"AAAAAGfr6zc=")</f>
        <v>#REF!</v>
      </c>
      <c r="BE10" t="e">
        <f>AND(#REF!,"AAAAAGfr6zg=")</f>
        <v>#REF!</v>
      </c>
      <c r="BF10" t="e">
        <f>AND(#REF!,"AAAAAGfr6zk=")</f>
        <v>#REF!</v>
      </c>
      <c r="BG10" t="e">
        <f>AND(#REF!,"AAAAAGfr6zo=")</f>
        <v>#REF!</v>
      </c>
      <c r="BH10" t="e">
        <f>AND(#REF!,"AAAAAGfr6zs=")</f>
        <v>#REF!</v>
      </c>
      <c r="BI10" t="e">
        <f>AND(#REF!,"AAAAAGfr6zw=")</f>
        <v>#REF!</v>
      </c>
      <c r="BJ10" t="e">
        <f>AND(#REF!,"AAAAAGfr6z0=")</f>
        <v>#REF!</v>
      </c>
      <c r="BK10" t="e">
        <f>AND(#REF!,"AAAAAGfr6z4=")</f>
        <v>#REF!</v>
      </c>
      <c r="BL10" t="e">
        <f>AND(#REF!,"AAAAAGfr6z8=")</f>
        <v>#REF!</v>
      </c>
      <c r="BM10" t="e">
        <f>AND(#REF!,"AAAAAGfr60A=")</f>
        <v>#REF!</v>
      </c>
      <c r="BN10" t="e">
        <f>AND(#REF!,"AAAAAGfr60E=")</f>
        <v>#REF!</v>
      </c>
      <c r="BO10" t="e">
        <f>AND(#REF!,"AAAAAGfr60I=")</f>
        <v>#REF!</v>
      </c>
      <c r="BP10" t="e">
        <f>IF(#REF!,"AAAAAGfr60M=",0)</f>
        <v>#REF!</v>
      </c>
      <c r="BQ10" t="e">
        <f>AND(#REF!,"AAAAAGfr60Q=")</f>
        <v>#REF!</v>
      </c>
      <c r="BR10" t="e">
        <f>AND(#REF!,"AAAAAGfr60U=")</f>
        <v>#REF!</v>
      </c>
      <c r="BS10" t="e">
        <f>AND(#REF!,"AAAAAGfr60Y=")</f>
        <v>#REF!</v>
      </c>
      <c r="BT10" t="e">
        <f>AND(#REF!,"AAAAAGfr60c=")</f>
        <v>#REF!</v>
      </c>
      <c r="BU10" t="e">
        <f>AND(#REF!,"AAAAAGfr60g=")</f>
        <v>#REF!</v>
      </c>
      <c r="BV10" t="e">
        <f>AND(#REF!,"AAAAAGfr60k=")</f>
        <v>#REF!</v>
      </c>
      <c r="BW10" t="e">
        <f>AND(#REF!,"AAAAAGfr60o=")</f>
        <v>#REF!</v>
      </c>
      <c r="BX10" t="e">
        <f>AND(#REF!,"AAAAAGfr60s=")</f>
        <v>#REF!</v>
      </c>
      <c r="BY10" t="e">
        <f>AND(#REF!,"AAAAAGfr60w=")</f>
        <v>#REF!</v>
      </c>
      <c r="BZ10" t="e">
        <f>AND(#REF!,"AAAAAGfr600=")</f>
        <v>#REF!</v>
      </c>
      <c r="CA10" t="e">
        <f>AND(#REF!,"AAAAAGfr604=")</f>
        <v>#REF!</v>
      </c>
      <c r="CB10" t="e">
        <f>AND(#REF!,"AAAAAGfr608=")</f>
        <v>#REF!</v>
      </c>
      <c r="CC10" t="e">
        <f>AND(#REF!,"AAAAAGfr61A=")</f>
        <v>#REF!</v>
      </c>
      <c r="CD10" t="e">
        <f>AND(#REF!,"AAAAAGfr61E=")</f>
        <v>#REF!</v>
      </c>
      <c r="CE10" t="e">
        <f>IF(#REF!,"AAAAAGfr61I=",0)</f>
        <v>#REF!</v>
      </c>
      <c r="CF10" t="e">
        <f>AND(#REF!,"AAAAAGfr61M=")</f>
        <v>#REF!</v>
      </c>
      <c r="CG10" t="e">
        <f>AND(#REF!,"AAAAAGfr61Q=")</f>
        <v>#REF!</v>
      </c>
      <c r="CH10" t="e">
        <f>AND(#REF!,"AAAAAGfr61U=")</f>
        <v>#REF!</v>
      </c>
      <c r="CI10" t="e">
        <f>AND(#REF!,"AAAAAGfr61Y=")</f>
        <v>#REF!</v>
      </c>
      <c r="CJ10" t="e">
        <f>AND(#REF!,"AAAAAGfr61c=")</f>
        <v>#REF!</v>
      </c>
      <c r="CK10" t="e">
        <f>AND(#REF!,"AAAAAGfr61g=")</f>
        <v>#REF!</v>
      </c>
      <c r="CL10" t="e">
        <f>AND(#REF!,"AAAAAGfr61k=")</f>
        <v>#REF!</v>
      </c>
      <c r="CM10" t="e">
        <f>AND(#REF!,"AAAAAGfr61o=")</f>
        <v>#REF!</v>
      </c>
      <c r="CN10" t="e">
        <f>AND(#REF!,"AAAAAGfr61s=")</f>
        <v>#REF!</v>
      </c>
      <c r="CO10" t="e">
        <f>AND(#REF!,"AAAAAGfr61w=")</f>
        <v>#REF!</v>
      </c>
      <c r="CP10" t="e">
        <f>AND(#REF!,"AAAAAGfr610=")</f>
        <v>#REF!</v>
      </c>
      <c r="CQ10" t="e">
        <f>AND(#REF!,"AAAAAGfr614=")</f>
        <v>#REF!</v>
      </c>
      <c r="CR10" t="e">
        <f>AND(#REF!,"AAAAAGfr618=")</f>
        <v>#REF!</v>
      </c>
      <c r="CS10" t="e">
        <f>AND(#REF!,"AAAAAGfr62A=")</f>
        <v>#REF!</v>
      </c>
      <c r="CT10" t="e">
        <f>IF(#REF!,"AAAAAGfr62E=",0)</f>
        <v>#REF!</v>
      </c>
      <c r="CU10" t="e">
        <f>AND(#REF!,"AAAAAGfr62I=")</f>
        <v>#REF!</v>
      </c>
      <c r="CV10" t="e">
        <f>AND(#REF!,"AAAAAGfr62M=")</f>
        <v>#REF!</v>
      </c>
      <c r="CW10" t="e">
        <f>AND(#REF!,"AAAAAGfr62Q=")</f>
        <v>#REF!</v>
      </c>
      <c r="CX10" t="e">
        <f>AND(#REF!,"AAAAAGfr62U=")</f>
        <v>#REF!</v>
      </c>
      <c r="CY10" t="e">
        <f>AND(#REF!,"AAAAAGfr62Y=")</f>
        <v>#REF!</v>
      </c>
      <c r="CZ10" t="e">
        <f>AND(#REF!,"AAAAAGfr62c=")</f>
        <v>#REF!</v>
      </c>
      <c r="DA10" t="e">
        <f>AND(#REF!,"AAAAAGfr62g=")</f>
        <v>#REF!</v>
      </c>
      <c r="DB10" t="e">
        <f>AND(#REF!,"AAAAAGfr62k=")</f>
        <v>#REF!</v>
      </c>
      <c r="DC10" t="e">
        <f>AND(#REF!,"AAAAAGfr62o=")</f>
        <v>#REF!</v>
      </c>
      <c r="DD10" t="e">
        <f>AND(#REF!,"AAAAAGfr62s=")</f>
        <v>#REF!</v>
      </c>
      <c r="DE10" t="e">
        <f>AND(#REF!,"AAAAAGfr62w=")</f>
        <v>#REF!</v>
      </c>
      <c r="DF10" t="e">
        <f>AND(#REF!,"AAAAAGfr620=")</f>
        <v>#REF!</v>
      </c>
      <c r="DG10" t="e">
        <f>AND(#REF!,"AAAAAGfr624=")</f>
        <v>#REF!</v>
      </c>
      <c r="DH10" t="e">
        <f>AND(#REF!,"AAAAAGfr628=")</f>
        <v>#REF!</v>
      </c>
      <c r="DI10" t="e">
        <f>IF(#REF!,"AAAAAGfr63A=",0)</f>
        <v>#REF!</v>
      </c>
      <c r="DJ10" t="e">
        <f>AND(#REF!,"AAAAAGfr63E=")</f>
        <v>#REF!</v>
      </c>
      <c r="DK10" t="e">
        <f>AND(#REF!,"AAAAAGfr63I=")</f>
        <v>#REF!</v>
      </c>
      <c r="DL10" t="e">
        <f>AND(#REF!,"AAAAAGfr63M=")</f>
        <v>#REF!</v>
      </c>
      <c r="DM10" t="e">
        <f>AND(#REF!,"AAAAAGfr63Q=")</f>
        <v>#REF!</v>
      </c>
      <c r="DN10" t="e">
        <f>AND(#REF!,"AAAAAGfr63U=")</f>
        <v>#REF!</v>
      </c>
      <c r="DO10" t="e">
        <f>AND(#REF!,"AAAAAGfr63Y=")</f>
        <v>#REF!</v>
      </c>
      <c r="DP10" t="e">
        <f>AND(#REF!,"AAAAAGfr63c=")</f>
        <v>#REF!</v>
      </c>
      <c r="DQ10" t="e">
        <f>AND(#REF!,"AAAAAGfr63g=")</f>
        <v>#REF!</v>
      </c>
      <c r="DR10" t="e">
        <f>AND(#REF!,"AAAAAGfr63k=")</f>
        <v>#REF!</v>
      </c>
      <c r="DS10" t="e">
        <f>AND(#REF!,"AAAAAGfr63o=")</f>
        <v>#REF!</v>
      </c>
      <c r="DT10" t="e">
        <f>AND(#REF!,"AAAAAGfr63s=")</f>
        <v>#REF!</v>
      </c>
      <c r="DU10" t="e">
        <f>AND(#REF!,"AAAAAGfr63w=")</f>
        <v>#REF!</v>
      </c>
      <c r="DV10" t="e">
        <f>AND(#REF!,"AAAAAGfr630=")</f>
        <v>#REF!</v>
      </c>
      <c r="DW10" t="e">
        <f>AND(#REF!,"AAAAAGfr634=")</f>
        <v>#REF!</v>
      </c>
      <c r="DX10" t="e">
        <f>IF(#REF!,"AAAAAGfr638=",0)</f>
        <v>#REF!</v>
      </c>
      <c r="DY10" t="e">
        <f>AND(#REF!,"AAAAAGfr64A=")</f>
        <v>#REF!</v>
      </c>
      <c r="DZ10" t="e">
        <f>AND(#REF!,"AAAAAGfr64E=")</f>
        <v>#REF!</v>
      </c>
      <c r="EA10" t="e">
        <f>AND(#REF!,"AAAAAGfr64I=")</f>
        <v>#REF!</v>
      </c>
      <c r="EB10" t="e">
        <f>AND(#REF!,"AAAAAGfr64M=")</f>
        <v>#REF!</v>
      </c>
      <c r="EC10" t="e">
        <f>AND(#REF!,"AAAAAGfr64Q=")</f>
        <v>#REF!</v>
      </c>
      <c r="ED10" t="e">
        <f>AND(#REF!,"AAAAAGfr64U=")</f>
        <v>#REF!</v>
      </c>
      <c r="EE10" t="e">
        <f>AND(#REF!,"AAAAAGfr64Y=")</f>
        <v>#REF!</v>
      </c>
      <c r="EF10" t="e">
        <f>AND(#REF!,"AAAAAGfr64c=")</f>
        <v>#REF!</v>
      </c>
      <c r="EG10" t="e">
        <f>AND(#REF!,"AAAAAGfr64g=")</f>
        <v>#REF!</v>
      </c>
      <c r="EH10" t="e">
        <f>AND(#REF!,"AAAAAGfr64k=")</f>
        <v>#REF!</v>
      </c>
      <c r="EI10" t="e">
        <f>AND(#REF!,"AAAAAGfr64o=")</f>
        <v>#REF!</v>
      </c>
      <c r="EJ10" t="e">
        <f>AND(#REF!,"AAAAAGfr64s=")</f>
        <v>#REF!</v>
      </c>
      <c r="EK10" t="e">
        <f>AND(#REF!,"AAAAAGfr64w=")</f>
        <v>#REF!</v>
      </c>
      <c r="EL10" t="e">
        <f>AND(#REF!,"AAAAAGfr640=")</f>
        <v>#REF!</v>
      </c>
      <c r="EM10" t="e">
        <f>IF(#REF!,"AAAAAGfr644=",0)</f>
        <v>#REF!</v>
      </c>
      <c r="EN10" t="e">
        <f>AND(#REF!,"AAAAAGfr648=")</f>
        <v>#REF!</v>
      </c>
      <c r="EO10" t="e">
        <f>AND(#REF!,"AAAAAGfr65A=")</f>
        <v>#REF!</v>
      </c>
      <c r="EP10" t="e">
        <f>AND(#REF!,"AAAAAGfr65E=")</f>
        <v>#REF!</v>
      </c>
      <c r="EQ10" t="e">
        <f>AND(#REF!,"AAAAAGfr65I=")</f>
        <v>#REF!</v>
      </c>
      <c r="ER10" t="e">
        <f>AND(#REF!,"AAAAAGfr65M=")</f>
        <v>#REF!</v>
      </c>
      <c r="ES10" t="e">
        <f>AND(#REF!,"AAAAAGfr65Q=")</f>
        <v>#REF!</v>
      </c>
      <c r="ET10" t="e">
        <f>AND(#REF!,"AAAAAGfr65U=")</f>
        <v>#REF!</v>
      </c>
      <c r="EU10" t="e">
        <f>AND(#REF!,"AAAAAGfr65Y=")</f>
        <v>#REF!</v>
      </c>
      <c r="EV10" t="e">
        <f>AND(#REF!,"AAAAAGfr65c=")</f>
        <v>#REF!</v>
      </c>
      <c r="EW10" t="e">
        <f>AND(#REF!,"AAAAAGfr65g=")</f>
        <v>#REF!</v>
      </c>
      <c r="EX10" t="e">
        <f>AND(#REF!,"AAAAAGfr65k=")</f>
        <v>#REF!</v>
      </c>
      <c r="EY10" t="e">
        <f>AND(#REF!,"AAAAAGfr65o=")</f>
        <v>#REF!</v>
      </c>
      <c r="EZ10" t="e">
        <f>AND(#REF!,"AAAAAGfr65s=")</f>
        <v>#REF!</v>
      </c>
      <c r="FA10" t="e">
        <f>AND(#REF!,"AAAAAGfr65w=")</f>
        <v>#REF!</v>
      </c>
      <c r="FB10" t="e">
        <f>IF(#REF!,"AAAAAGfr650=",0)</f>
        <v>#REF!</v>
      </c>
      <c r="FC10" t="e">
        <f>AND(#REF!,"AAAAAGfr654=")</f>
        <v>#REF!</v>
      </c>
      <c r="FD10" t="e">
        <f>AND(#REF!,"AAAAAGfr658=")</f>
        <v>#REF!</v>
      </c>
      <c r="FE10" t="e">
        <f>AND(#REF!,"AAAAAGfr66A=")</f>
        <v>#REF!</v>
      </c>
      <c r="FF10" t="e">
        <f>AND(#REF!,"AAAAAGfr66E=")</f>
        <v>#REF!</v>
      </c>
      <c r="FG10" t="e">
        <f>AND(#REF!,"AAAAAGfr66I=")</f>
        <v>#REF!</v>
      </c>
      <c r="FH10" t="e">
        <f>AND(#REF!,"AAAAAGfr66M=")</f>
        <v>#REF!</v>
      </c>
      <c r="FI10" t="e">
        <f>AND(#REF!,"AAAAAGfr66Q=")</f>
        <v>#REF!</v>
      </c>
      <c r="FJ10" t="e">
        <f>AND(#REF!,"AAAAAGfr66U=")</f>
        <v>#REF!</v>
      </c>
      <c r="FK10" t="e">
        <f>AND(#REF!,"AAAAAGfr66Y=")</f>
        <v>#REF!</v>
      </c>
      <c r="FL10" t="e">
        <f>AND(#REF!,"AAAAAGfr66c=")</f>
        <v>#REF!</v>
      </c>
      <c r="FM10" t="e">
        <f>AND(#REF!,"AAAAAGfr66g=")</f>
        <v>#REF!</v>
      </c>
      <c r="FN10" t="e">
        <f>AND(#REF!,"AAAAAGfr66k=")</f>
        <v>#REF!</v>
      </c>
      <c r="FO10" t="e">
        <f>AND(#REF!,"AAAAAGfr66o=")</f>
        <v>#REF!</v>
      </c>
      <c r="FP10" t="e">
        <f>AND(#REF!,"AAAAAGfr66s=")</f>
        <v>#REF!</v>
      </c>
      <c r="FQ10" t="e">
        <f>IF(#REF!,"AAAAAGfr66w=",0)</f>
        <v>#REF!</v>
      </c>
      <c r="FR10" t="e">
        <f>AND(#REF!,"AAAAAGfr660=")</f>
        <v>#REF!</v>
      </c>
      <c r="FS10" t="e">
        <f>AND(#REF!,"AAAAAGfr664=")</f>
        <v>#REF!</v>
      </c>
      <c r="FT10" t="e">
        <f>AND(#REF!,"AAAAAGfr668=")</f>
        <v>#REF!</v>
      </c>
      <c r="FU10" t="e">
        <f>AND(#REF!,"AAAAAGfr67A=")</f>
        <v>#REF!</v>
      </c>
      <c r="FV10" t="e">
        <f>AND(#REF!,"AAAAAGfr67E=")</f>
        <v>#REF!</v>
      </c>
      <c r="FW10" t="e">
        <f>AND(#REF!,"AAAAAGfr67I=")</f>
        <v>#REF!</v>
      </c>
      <c r="FX10" t="e">
        <f>AND(#REF!,"AAAAAGfr67M=")</f>
        <v>#REF!</v>
      </c>
      <c r="FY10" t="e">
        <f>AND(#REF!,"AAAAAGfr67Q=")</f>
        <v>#REF!</v>
      </c>
      <c r="FZ10" t="e">
        <f>AND(#REF!,"AAAAAGfr67U=")</f>
        <v>#REF!</v>
      </c>
      <c r="GA10" t="e">
        <f>AND(#REF!,"AAAAAGfr67Y=")</f>
        <v>#REF!</v>
      </c>
      <c r="GB10" t="e">
        <f>AND(#REF!,"AAAAAGfr67c=")</f>
        <v>#REF!</v>
      </c>
      <c r="GC10" t="e">
        <f>AND(#REF!,"AAAAAGfr67g=")</f>
        <v>#REF!</v>
      </c>
      <c r="GD10" t="e">
        <f>AND(#REF!,"AAAAAGfr67k=")</f>
        <v>#REF!</v>
      </c>
      <c r="GE10" t="e">
        <f>AND(#REF!,"AAAAAGfr67o=")</f>
        <v>#REF!</v>
      </c>
      <c r="GF10" t="e">
        <f>IF(#REF!,"AAAAAGfr67s=",0)</f>
        <v>#REF!</v>
      </c>
      <c r="GG10" t="e">
        <f>AND(#REF!,"AAAAAGfr67w=")</f>
        <v>#REF!</v>
      </c>
      <c r="GH10" t="e">
        <f>AND(#REF!,"AAAAAGfr670=")</f>
        <v>#REF!</v>
      </c>
      <c r="GI10" t="e">
        <f>AND(#REF!,"AAAAAGfr674=")</f>
        <v>#REF!</v>
      </c>
      <c r="GJ10" t="e">
        <f>AND(#REF!,"AAAAAGfr678=")</f>
        <v>#REF!</v>
      </c>
      <c r="GK10" t="e">
        <f>AND(#REF!,"AAAAAGfr68A=")</f>
        <v>#REF!</v>
      </c>
      <c r="GL10" t="e">
        <f>AND(#REF!,"AAAAAGfr68E=")</f>
        <v>#REF!</v>
      </c>
      <c r="GM10" t="e">
        <f>AND(#REF!,"AAAAAGfr68I=")</f>
        <v>#REF!</v>
      </c>
      <c r="GN10" t="e">
        <f>AND(#REF!,"AAAAAGfr68M=")</f>
        <v>#REF!</v>
      </c>
      <c r="GO10" t="e">
        <f>AND(#REF!,"AAAAAGfr68Q=")</f>
        <v>#REF!</v>
      </c>
      <c r="GP10" t="e">
        <f>AND(#REF!,"AAAAAGfr68U=")</f>
        <v>#REF!</v>
      </c>
      <c r="GQ10" t="e">
        <f>AND(#REF!,"AAAAAGfr68Y=")</f>
        <v>#REF!</v>
      </c>
      <c r="GR10" t="e">
        <f>AND(#REF!,"AAAAAGfr68c=")</f>
        <v>#REF!</v>
      </c>
      <c r="GS10" t="e">
        <f>AND(#REF!,"AAAAAGfr68g=")</f>
        <v>#REF!</v>
      </c>
      <c r="GT10" t="e">
        <f>AND(#REF!,"AAAAAGfr68k=")</f>
        <v>#REF!</v>
      </c>
      <c r="GU10" t="e">
        <f>IF(#REF!,"AAAAAGfr68o=",0)</f>
        <v>#REF!</v>
      </c>
      <c r="GV10" t="e">
        <f>AND(#REF!,"AAAAAGfr68s=")</f>
        <v>#REF!</v>
      </c>
      <c r="GW10" t="e">
        <f>AND(#REF!,"AAAAAGfr68w=")</f>
        <v>#REF!</v>
      </c>
      <c r="GX10" t="e">
        <f>AND(#REF!,"AAAAAGfr680=")</f>
        <v>#REF!</v>
      </c>
      <c r="GY10" t="e">
        <f>AND(#REF!,"AAAAAGfr684=")</f>
        <v>#REF!</v>
      </c>
      <c r="GZ10" t="e">
        <f>AND(#REF!,"AAAAAGfr688=")</f>
        <v>#REF!</v>
      </c>
      <c r="HA10" t="e">
        <f>AND(#REF!,"AAAAAGfr69A=")</f>
        <v>#REF!</v>
      </c>
      <c r="HB10" t="e">
        <f>AND(#REF!,"AAAAAGfr69E=")</f>
        <v>#REF!</v>
      </c>
      <c r="HC10" t="e">
        <f>AND(#REF!,"AAAAAGfr69I=")</f>
        <v>#REF!</v>
      </c>
      <c r="HD10" t="e">
        <f>AND(#REF!,"AAAAAGfr69M=")</f>
        <v>#REF!</v>
      </c>
      <c r="HE10" t="e">
        <f>AND(#REF!,"AAAAAGfr69Q=")</f>
        <v>#REF!</v>
      </c>
      <c r="HF10" t="e">
        <f>AND(#REF!,"AAAAAGfr69U=")</f>
        <v>#REF!</v>
      </c>
      <c r="HG10" t="e">
        <f>AND(#REF!,"AAAAAGfr69Y=")</f>
        <v>#REF!</v>
      </c>
      <c r="HH10" t="e">
        <f>AND(#REF!,"AAAAAGfr69c=")</f>
        <v>#REF!</v>
      </c>
      <c r="HI10" t="e">
        <f>AND(#REF!,"AAAAAGfr69g=")</f>
        <v>#REF!</v>
      </c>
      <c r="HJ10" t="e">
        <f>IF(#REF!,"AAAAAGfr69k=",0)</f>
        <v>#REF!</v>
      </c>
      <c r="HK10" t="e">
        <f>AND(#REF!,"AAAAAGfr69o=")</f>
        <v>#REF!</v>
      </c>
      <c r="HL10" t="e">
        <f>AND(#REF!,"AAAAAGfr69s=")</f>
        <v>#REF!</v>
      </c>
      <c r="HM10" t="e">
        <f>AND(#REF!,"AAAAAGfr69w=")</f>
        <v>#REF!</v>
      </c>
      <c r="HN10" t="e">
        <f>AND(#REF!,"AAAAAGfr690=")</f>
        <v>#REF!</v>
      </c>
      <c r="HO10" t="e">
        <f>AND(#REF!,"AAAAAGfr694=")</f>
        <v>#REF!</v>
      </c>
      <c r="HP10" t="e">
        <f>AND(#REF!,"AAAAAGfr698=")</f>
        <v>#REF!</v>
      </c>
      <c r="HQ10" t="e">
        <f>AND(#REF!,"AAAAAGfr6+A=")</f>
        <v>#REF!</v>
      </c>
      <c r="HR10" t="e">
        <f>AND(#REF!,"AAAAAGfr6+E=")</f>
        <v>#REF!</v>
      </c>
      <c r="HS10" t="e">
        <f>AND(#REF!,"AAAAAGfr6+I=")</f>
        <v>#REF!</v>
      </c>
      <c r="HT10" t="e">
        <f>AND(#REF!,"AAAAAGfr6+M=")</f>
        <v>#REF!</v>
      </c>
      <c r="HU10" t="e">
        <f>AND(#REF!,"AAAAAGfr6+Q=")</f>
        <v>#REF!</v>
      </c>
      <c r="HV10" t="e">
        <f>AND(#REF!,"AAAAAGfr6+U=")</f>
        <v>#REF!</v>
      </c>
      <c r="HW10" t="e">
        <f>AND(#REF!,"AAAAAGfr6+Y=")</f>
        <v>#REF!</v>
      </c>
      <c r="HX10" t="e">
        <f>AND(#REF!,"AAAAAGfr6+c=")</f>
        <v>#REF!</v>
      </c>
      <c r="HY10" t="e">
        <f>IF(#REF!,"AAAAAGfr6+g=",0)</f>
        <v>#REF!</v>
      </c>
      <c r="HZ10" t="e">
        <f>AND(#REF!,"AAAAAGfr6+k=")</f>
        <v>#REF!</v>
      </c>
      <c r="IA10" t="e">
        <f>AND(#REF!,"AAAAAGfr6+o=")</f>
        <v>#REF!</v>
      </c>
      <c r="IB10" t="e">
        <f>AND(#REF!,"AAAAAGfr6+s=")</f>
        <v>#REF!</v>
      </c>
      <c r="IC10" t="e">
        <f>AND(#REF!,"AAAAAGfr6+w=")</f>
        <v>#REF!</v>
      </c>
      <c r="ID10" t="e">
        <f>AND(#REF!,"AAAAAGfr6+0=")</f>
        <v>#REF!</v>
      </c>
      <c r="IE10" t="e">
        <f>AND(#REF!,"AAAAAGfr6+4=")</f>
        <v>#REF!</v>
      </c>
      <c r="IF10" t="e">
        <f>AND(#REF!,"AAAAAGfr6+8=")</f>
        <v>#REF!</v>
      </c>
      <c r="IG10" t="e">
        <f>AND(#REF!,"AAAAAGfr6/A=")</f>
        <v>#REF!</v>
      </c>
      <c r="IH10" t="e">
        <f>AND(#REF!,"AAAAAGfr6/E=")</f>
        <v>#REF!</v>
      </c>
      <c r="II10" t="e">
        <f>AND(#REF!,"AAAAAGfr6/I=")</f>
        <v>#REF!</v>
      </c>
      <c r="IJ10" t="e">
        <f>AND(#REF!,"AAAAAGfr6/M=")</f>
        <v>#REF!</v>
      </c>
      <c r="IK10" t="e">
        <f>AND(#REF!,"AAAAAGfr6/Q=")</f>
        <v>#REF!</v>
      </c>
      <c r="IL10" t="e">
        <f>AND(#REF!,"AAAAAGfr6/U=")</f>
        <v>#REF!</v>
      </c>
      <c r="IM10" t="e">
        <f>AND(#REF!,"AAAAAGfr6/Y=")</f>
        <v>#REF!</v>
      </c>
      <c r="IN10" t="e">
        <f>IF(#REF!,"AAAAAGfr6/c=",0)</f>
        <v>#REF!</v>
      </c>
      <c r="IO10" t="e">
        <f>AND(#REF!,"AAAAAGfr6/g=")</f>
        <v>#REF!</v>
      </c>
      <c r="IP10" t="e">
        <f>AND(#REF!,"AAAAAGfr6/k=")</f>
        <v>#REF!</v>
      </c>
      <c r="IQ10" t="e">
        <f>AND(#REF!,"AAAAAGfr6/o=")</f>
        <v>#REF!</v>
      </c>
      <c r="IR10" t="e">
        <f>AND(#REF!,"AAAAAGfr6/s=")</f>
        <v>#REF!</v>
      </c>
      <c r="IS10" t="e">
        <f>AND(#REF!,"AAAAAGfr6/w=")</f>
        <v>#REF!</v>
      </c>
      <c r="IT10" t="e">
        <f>AND(#REF!,"AAAAAGfr6/0=")</f>
        <v>#REF!</v>
      </c>
      <c r="IU10" t="e">
        <f>AND(#REF!,"AAAAAGfr6/4=")</f>
        <v>#REF!</v>
      </c>
      <c r="IV10" t="e">
        <f>AND(#REF!,"AAAAAGfr6/8=")</f>
        <v>#REF!</v>
      </c>
    </row>
    <row r="11" spans="1:256">
      <c r="A11" t="e">
        <f>AND(#REF!,"AAAAAH/+7wA=")</f>
        <v>#REF!</v>
      </c>
      <c r="B11" t="e">
        <f>AND(#REF!,"AAAAAH/+7wE=")</f>
        <v>#REF!</v>
      </c>
      <c r="C11" t="e">
        <f>AND(#REF!,"AAAAAH/+7wI=")</f>
        <v>#REF!</v>
      </c>
      <c r="D11" t="e">
        <f>AND(#REF!,"AAAAAH/+7wM=")</f>
        <v>#REF!</v>
      </c>
      <c r="E11" t="e">
        <f>AND(#REF!,"AAAAAH/+7wQ=")</f>
        <v>#REF!</v>
      </c>
      <c r="F11" t="e">
        <f>AND(#REF!,"AAAAAH/+7wU=")</f>
        <v>#REF!</v>
      </c>
      <c r="G11" t="e">
        <f>IF(#REF!,"AAAAAH/+7wY=",0)</f>
        <v>#REF!</v>
      </c>
      <c r="H11" t="e">
        <f>AND(#REF!,"AAAAAH/+7wc=")</f>
        <v>#REF!</v>
      </c>
      <c r="I11" t="e">
        <f>AND(#REF!,"AAAAAH/+7wg=")</f>
        <v>#REF!</v>
      </c>
      <c r="J11" t="e">
        <f>AND(#REF!,"AAAAAH/+7wk=")</f>
        <v>#REF!</v>
      </c>
      <c r="K11" t="e">
        <f>AND(#REF!,"AAAAAH/+7wo=")</f>
        <v>#REF!</v>
      </c>
      <c r="L11" t="e">
        <f>AND(#REF!,"AAAAAH/+7ws=")</f>
        <v>#REF!</v>
      </c>
      <c r="M11" t="e">
        <f>AND(#REF!,"AAAAAH/+7ww=")</f>
        <v>#REF!</v>
      </c>
      <c r="N11" t="e">
        <f>AND(#REF!,"AAAAAH/+7w0=")</f>
        <v>#REF!</v>
      </c>
      <c r="O11" t="e">
        <f>AND(#REF!,"AAAAAH/+7w4=")</f>
        <v>#REF!</v>
      </c>
      <c r="P11" t="e">
        <f>AND(#REF!,"AAAAAH/+7w8=")</f>
        <v>#REF!</v>
      </c>
      <c r="Q11" t="e">
        <f>AND(#REF!,"AAAAAH/+7xA=")</f>
        <v>#REF!</v>
      </c>
      <c r="R11" t="e">
        <f>AND(#REF!,"AAAAAH/+7xE=")</f>
        <v>#REF!</v>
      </c>
      <c r="S11" t="e">
        <f>AND(#REF!,"AAAAAH/+7xI=")</f>
        <v>#REF!</v>
      </c>
      <c r="T11" t="e">
        <f>AND(#REF!,"AAAAAH/+7xM=")</f>
        <v>#REF!</v>
      </c>
      <c r="U11" t="e">
        <f>AND(#REF!,"AAAAAH/+7xQ=")</f>
        <v>#REF!</v>
      </c>
      <c r="V11" t="e">
        <f>IF(#REF!,"AAAAAH/+7xU=",0)</f>
        <v>#REF!</v>
      </c>
      <c r="W11" t="e">
        <f>AND(#REF!,"AAAAAH/+7xY=")</f>
        <v>#REF!</v>
      </c>
      <c r="X11" t="e">
        <f>AND(#REF!,"AAAAAH/+7xc=")</f>
        <v>#REF!</v>
      </c>
      <c r="Y11" t="e">
        <f>AND(#REF!,"AAAAAH/+7xg=")</f>
        <v>#REF!</v>
      </c>
      <c r="Z11" t="e">
        <f>AND(#REF!,"AAAAAH/+7xk=")</f>
        <v>#REF!</v>
      </c>
      <c r="AA11" t="e">
        <f>AND(#REF!,"AAAAAH/+7xo=")</f>
        <v>#REF!</v>
      </c>
      <c r="AB11" t="e">
        <f>AND(#REF!,"AAAAAH/+7xs=")</f>
        <v>#REF!</v>
      </c>
      <c r="AC11" t="e">
        <f>AND(#REF!,"AAAAAH/+7xw=")</f>
        <v>#REF!</v>
      </c>
      <c r="AD11" t="e">
        <f>AND(#REF!,"AAAAAH/+7x0=")</f>
        <v>#REF!</v>
      </c>
      <c r="AE11" t="e">
        <f>AND(#REF!,"AAAAAH/+7x4=")</f>
        <v>#REF!</v>
      </c>
      <c r="AF11" t="e">
        <f>AND(#REF!,"AAAAAH/+7x8=")</f>
        <v>#REF!</v>
      </c>
      <c r="AG11" t="e">
        <f>AND(#REF!,"AAAAAH/+7yA=")</f>
        <v>#REF!</v>
      </c>
      <c r="AH11" t="e">
        <f>AND(#REF!,"AAAAAH/+7yE=")</f>
        <v>#REF!</v>
      </c>
      <c r="AI11" t="e">
        <f>AND(#REF!,"AAAAAH/+7yI=")</f>
        <v>#REF!</v>
      </c>
      <c r="AJ11" t="e">
        <f>AND(#REF!,"AAAAAH/+7yM=")</f>
        <v>#REF!</v>
      </c>
      <c r="AK11" t="e">
        <f>IF(#REF!,"AAAAAH/+7yQ=",0)</f>
        <v>#REF!</v>
      </c>
      <c r="AL11" t="e">
        <f>AND(#REF!,"AAAAAH/+7yU=")</f>
        <v>#REF!</v>
      </c>
      <c r="AM11" t="e">
        <f>AND(#REF!,"AAAAAH/+7yY=")</f>
        <v>#REF!</v>
      </c>
      <c r="AN11" t="e">
        <f>AND(#REF!,"AAAAAH/+7yc=")</f>
        <v>#REF!</v>
      </c>
      <c r="AO11" t="e">
        <f>AND(#REF!,"AAAAAH/+7yg=")</f>
        <v>#REF!</v>
      </c>
      <c r="AP11" t="e">
        <f>AND(#REF!,"AAAAAH/+7yk=")</f>
        <v>#REF!</v>
      </c>
      <c r="AQ11" t="e">
        <f>AND(#REF!,"AAAAAH/+7yo=")</f>
        <v>#REF!</v>
      </c>
      <c r="AR11" t="e">
        <f>AND(#REF!,"AAAAAH/+7ys=")</f>
        <v>#REF!</v>
      </c>
      <c r="AS11" t="e">
        <f>AND(#REF!,"AAAAAH/+7yw=")</f>
        <v>#REF!</v>
      </c>
      <c r="AT11" t="e">
        <f>AND(#REF!,"AAAAAH/+7y0=")</f>
        <v>#REF!</v>
      </c>
      <c r="AU11" t="e">
        <f>AND(#REF!,"AAAAAH/+7y4=")</f>
        <v>#REF!</v>
      </c>
      <c r="AV11" t="e">
        <f>AND(#REF!,"AAAAAH/+7y8=")</f>
        <v>#REF!</v>
      </c>
      <c r="AW11" t="e">
        <f>AND(#REF!,"AAAAAH/+7zA=")</f>
        <v>#REF!</v>
      </c>
      <c r="AX11" t="e">
        <f>AND(#REF!,"AAAAAH/+7zE=")</f>
        <v>#REF!</v>
      </c>
      <c r="AY11" t="e">
        <f>AND(#REF!,"AAAAAH/+7zI=")</f>
        <v>#REF!</v>
      </c>
      <c r="AZ11" t="e">
        <f>IF(#REF!,"AAAAAH/+7zM=",0)</f>
        <v>#REF!</v>
      </c>
      <c r="BA11" t="e">
        <f>AND(#REF!,"AAAAAH/+7zQ=")</f>
        <v>#REF!</v>
      </c>
      <c r="BB11" t="e">
        <f>AND(#REF!,"AAAAAH/+7zU=")</f>
        <v>#REF!</v>
      </c>
      <c r="BC11" t="e">
        <f>AND(#REF!,"AAAAAH/+7zY=")</f>
        <v>#REF!</v>
      </c>
      <c r="BD11" t="e">
        <f>AND(#REF!,"AAAAAH/+7zc=")</f>
        <v>#REF!</v>
      </c>
      <c r="BE11" t="e">
        <f>AND(#REF!,"AAAAAH/+7zg=")</f>
        <v>#REF!</v>
      </c>
      <c r="BF11" t="e">
        <f>AND(#REF!,"AAAAAH/+7zk=")</f>
        <v>#REF!</v>
      </c>
      <c r="BG11" t="e">
        <f>AND(#REF!,"AAAAAH/+7zo=")</f>
        <v>#REF!</v>
      </c>
      <c r="BH11" t="e">
        <f>AND(#REF!,"AAAAAH/+7zs=")</f>
        <v>#REF!</v>
      </c>
      <c r="BI11" t="e">
        <f>AND(#REF!,"AAAAAH/+7zw=")</f>
        <v>#REF!</v>
      </c>
      <c r="BJ11" t="e">
        <f>AND(#REF!,"AAAAAH/+7z0=")</f>
        <v>#REF!</v>
      </c>
      <c r="BK11" t="e">
        <f>AND(#REF!,"AAAAAH/+7z4=")</f>
        <v>#REF!</v>
      </c>
      <c r="BL11" t="e">
        <f>AND(#REF!,"AAAAAH/+7z8=")</f>
        <v>#REF!</v>
      </c>
      <c r="BM11" t="e">
        <f>AND(#REF!,"AAAAAH/+70A=")</f>
        <v>#REF!</v>
      </c>
      <c r="BN11" t="e">
        <f>AND(#REF!,"AAAAAH/+70E=")</f>
        <v>#REF!</v>
      </c>
      <c r="BO11" t="e">
        <f>IF(#REF!,"AAAAAH/+70I=",0)</f>
        <v>#REF!</v>
      </c>
      <c r="BP11" t="e">
        <f>AND(#REF!,"AAAAAH/+70M=")</f>
        <v>#REF!</v>
      </c>
      <c r="BQ11" t="e">
        <f>AND(#REF!,"AAAAAH/+70Q=")</f>
        <v>#REF!</v>
      </c>
      <c r="BR11" t="e">
        <f>AND(#REF!,"AAAAAH/+70U=")</f>
        <v>#REF!</v>
      </c>
      <c r="BS11" t="e">
        <f>AND(#REF!,"AAAAAH/+70Y=")</f>
        <v>#REF!</v>
      </c>
      <c r="BT11" t="e">
        <f>AND(#REF!,"AAAAAH/+70c=")</f>
        <v>#REF!</v>
      </c>
      <c r="BU11" t="e">
        <f>AND(#REF!,"AAAAAH/+70g=")</f>
        <v>#REF!</v>
      </c>
      <c r="BV11" t="e">
        <f>AND(#REF!,"AAAAAH/+70k=")</f>
        <v>#REF!</v>
      </c>
      <c r="BW11" t="e">
        <f>AND(#REF!,"AAAAAH/+70o=")</f>
        <v>#REF!</v>
      </c>
      <c r="BX11" t="e">
        <f>AND(#REF!,"AAAAAH/+70s=")</f>
        <v>#REF!</v>
      </c>
      <c r="BY11" t="e">
        <f>AND(#REF!,"AAAAAH/+70w=")</f>
        <v>#REF!</v>
      </c>
      <c r="BZ11" t="e">
        <f>AND(#REF!,"AAAAAH/+700=")</f>
        <v>#REF!</v>
      </c>
      <c r="CA11" t="e">
        <f>AND(#REF!,"AAAAAH/+704=")</f>
        <v>#REF!</v>
      </c>
      <c r="CB11" t="e">
        <f>AND(#REF!,"AAAAAH/+708=")</f>
        <v>#REF!</v>
      </c>
      <c r="CC11" t="e">
        <f>AND(#REF!,"AAAAAH/+71A=")</f>
        <v>#REF!</v>
      </c>
      <c r="CD11" t="e">
        <f>IF(#REF!,"AAAAAH/+71E=",0)</f>
        <v>#REF!</v>
      </c>
      <c r="CE11" t="e">
        <f>AND(#REF!,"AAAAAH/+71I=")</f>
        <v>#REF!</v>
      </c>
      <c r="CF11" t="e">
        <f>AND(#REF!,"AAAAAH/+71M=")</f>
        <v>#REF!</v>
      </c>
      <c r="CG11" t="e">
        <f>AND(#REF!,"AAAAAH/+71Q=")</f>
        <v>#REF!</v>
      </c>
      <c r="CH11" t="e">
        <f>AND(#REF!,"AAAAAH/+71U=")</f>
        <v>#REF!</v>
      </c>
      <c r="CI11" t="e">
        <f>AND(#REF!,"AAAAAH/+71Y=")</f>
        <v>#REF!</v>
      </c>
      <c r="CJ11" t="e">
        <f>AND(#REF!,"AAAAAH/+71c=")</f>
        <v>#REF!</v>
      </c>
      <c r="CK11" t="e">
        <f>AND(#REF!,"AAAAAH/+71g=")</f>
        <v>#REF!</v>
      </c>
      <c r="CL11" t="e">
        <f>AND(#REF!,"AAAAAH/+71k=")</f>
        <v>#REF!</v>
      </c>
      <c r="CM11" t="e">
        <f>AND(#REF!,"AAAAAH/+71o=")</f>
        <v>#REF!</v>
      </c>
      <c r="CN11" t="e">
        <f>AND(#REF!,"AAAAAH/+71s=")</f>
        <v>#REF!</v>
      </c>
      <c r="CO11" t="e">
        <f>AND(#REF!,"AAAAAH/+71w=")</f>
        <v>#REF!</v>
      </c>
      <c r="CP11" t="e">
        <f>AND(#REF!,"AAAAAH/+710=")</f>
        <v>#REF!</v>
      </c>
      <c r="CQ11" t="e">
        <f>AND(#REF!,"AAAAAH/+714=")</f>
        <v>#REF!</v>
      </c>
      <c r="CR11" t="e">
        <f>AND(#REF!,"AAAAAH/+718=")</f>
        <v>#REF!</v>
      </c>
      <c r="CS11" t="e">
        <f>IF(#REF!,"AAAAAH/+72A=",0)</f>
        <v>#REF!</v>
      </c>
      <c r="CT11" t="e">
        <f>AND(#REF!,"AAAAAH/+72E=")</f>
        <v>#REF!</v>
      </c>
      <c r="CU11" t="e">
        <f>AND(#REF!,"AAAAAH/+72I=")</f>
        <v>#REF!</v>
      </c>
      <c r="CV11" t="e">
        <f>AND(#REF!,"AAAAAH/+72M=")</f>
        <v>#REF!</v>
      </c>
      <c r="CW11" t="e">
        <f>AND(#REF!,"AAAAAH/+72Q=")</f>
        <v>#REF!</v>
      </c>
      <c r="CX11" t="e">
        <f>AND(#REF!,"AAAAAH/+72U=")</f>
        <v>#REF!</v>
      </c>
      <c r="CY11" t="e">
        <f>AND(#REF!,"AAAAAH/+72Y=")</f>
        <v>#REF!</v>
      </c>
      <c r="CZ11" t="e">
        <f>AND(#REF!,"AAAAAH/+72c=")</f>
        <v>#REF!</v>
      </c>
      <c r="DA11" t="e">
        <f>AND(#REF!,"AAAAAH/+72g=")</f>
        <v>#REF!</v>
      </c>
      <c r="DB11" t="e">
        <f>AND(#REF!,"AAAAAH/+72k=")</f>
        <v>#REF!</v>
      </c>
      <c r="DC11" t="e">
        <f>AND(#REF!,"AAAAAH/+72o=")</f>
        <v>#REF!</v>
      </c>
      <c r="DD11" t="e">
        <f>AND(#REF!,"AAAAAH/+72s=")</f>
        <v>#REF!</v>
      </c>
      <c r="DE11" t="e">
        <f>AND(#REF!,"AAAAAH/+72w=")</f>
        <v>#REF!</v>
      </c>
      <c r="DF11" t="e">
        <f>AND(#REF!,"AAAAAH/+720=")</f>
        <v>#REF!</v>
      </c>
      <c r="DG11" t="e">
        <f>AND(#REF!,"AAAAAH/+724=")</f>
        <v>#REF!</v>
      </c>
      <c r="DH11" t="e">
        <f>IF(#REF!,"AAAAAH/+728=",0)</f>
        <v>#REF!</v>
      </c>
      <c r="DI11" t="e">
        <f>AND(#REF!,"AAAAAH/+73A=")</f>
        <v>#REF!</v>
      </c>
      <c r="DJ11" t="e">
        <f>AND(#REF!,"AAAAAH/+73E=")</f>
        <v>#REF!</v>
      </c>
      <c r="DK11" t="e">
        <f>AND(#REF!,"AAAAAH/+73I=")</f>
        <v>#REF!</v>
      </c>
      <c r="DL11" t="e">
        <f>AND(#REF!,"AAAAAH/+73M=")</f>
        <v>#REF!</v>
      </c>
      <c r="DM11" t="e">
        <f>AND(#REF!,"AAAAAH/+73Q=")</f>
        <v>#REF!</v>
      </c>
      <c r="DN11" t="e">
        <f>AND(#REF!,"AAAAAH/+73U=")</f>
        <v>#REF!</v>
      </c>
      <c r="DO11" t="e">
        <f>AND(#REF!,"AAAAAH/+73Y=")</f>
        <v>#REF!</v>
      </c>
      <c r="DP11" t="e">
        <f>AND(#REF!,"AAAAAH/+73c=")</f>
        <v>#REF!</v>
      </c>
      <c r="DQ11" t="e">
        <f>AND(#REF!,"AAAAAH/+73g=")</f>
        <v>#REF!</v>
      </c>
      <c r="DR11" t="e">
        <f>AND(#REF!,"AAAAAH/+73k=")</f>
        <v>#REF!</v>
      </c>
      <c r="DS11" t="e">
        <f>AND(#REF!,"AAAAAH/+73o=")</f>
        <v>#REF!</v>
      </c>
      <c r="DT11" t="e">
        <f>AND(#REF!,"AAAAAH/+73s=")</f>
        <v>#REF!</v>
      </c>
      <c r="DU11" t="e">
        <f>AND(#REF!,"AAAAAH/+73w=")</f>
        <v>#REF!</v>
      </c>
      <c r="DV11" t="e">
        <f>AND(#REF!,"AAAAAH/+730=")</f>
        <v>#REF!</v>
      </c>
      <c r="DW11" t="e">
        <f>IF(#REF!,"AAAAAH/+734=",0)</f>
        <v>#REF!</v>
      </c>
      <c r="DX11" t="e">
        <f>AND(#REF!,"AAAAAH/+738=")</f>
        <v>#REF!</v>
      </c>
      <c r="DY11" t="e">
        <f>AND(#REF!,"AAAAAH/+74A=")</f>
        <v>#REF!</v>
      </c>
      <c r="DZ11" t="e">
        <f>AND(#REF!,"AAAAAH/+74E=")</f>
        <v>#REF!</v>
      </c>
      <c r="EA11" t="e">
        <f>AND(#REF!,"AAAAAH/+74I=")</f>
        <v>#REF!</v>
      </c>
      <c r="EB11" t="e">
        <f>AND(#REF!,"AAAAAH/+74M=")</f>
        <v>#REF!</v>
      </c>
      <c r="EC11" t="e">
        <f>AND(#REF!,"AAAAAH/+74Q=")</f>
        <v>#REF!</v>
      </c>
      <c r="ED11" t="e">
        <f>AND(#REF!,"AAAAAH/+74U=")</f>
        <v>#REF!</v>
      </c>
      <c r="EE11" t="e">
        <f>AND(#REF!,"AAAAAH/+74Y=")</f>
        <v>#REF!</v>
      </c>
      <c r="EF11" t="e">
        <f>AND(#REF!,"AAAAAH/+74c=")</f>
        <v>#REF!</v>
      </c>
      <c r="EG11" t="e">
        <f>AND(#REF!,"AAAAAH/+74g=")</f>
        <v>#REF!</v>
      </c>
      <c r="EH11" t="e">
        <f>AND(#REF!,"AAAAAH/+74k=")</f>
        <v>#REF!</v>
      </c>
      <c r="EI11" t="e">
        <f>AND(#REF!,"AAAAAH/+74o=")</f>
        <v>#REF!</v>
      </c>
      <c r="EJ11" t="e">
        <f>AND(#REF!,"AAAAAH/+74s=")</f>
        <v>#REF!</v>
      </c>
      <c r="EK11" t="e">
        <f>AND(#REF!,"AAAAAH/+74w=")</f>
        <v>#REF!</v>
      </c>
      <c r="EL11" t="e">
        <f>IF(#REF!,"AAAAAH/+740=",0)</f>
        <v>#REF!</v>
      </c>
      <c r="EM11" t="e">
        <f>AND(#REF!,"AAAAAH/+744=")</f>
        <v>#REF!</v>
      </c>
      <c r="EN11" t="e">
        <f>AND(#REF!,"AAAAAH/+748=")</f>
        <v>#REF!</v>
      </c>
      <c r="EO11" t="e">
        <f>AND(#REF!,"AAAAAH/+75A=")</f>
        <v>#REF!</v>
      </c>
      <c r="EP11" t="e">
        <f>AND(#REF!,"AAAAAH/+75E=")</f>
        <v>#REF!</v>
      </c>
      <c r="EQ11" t="e">
        <f>AND(#REF!,"AAAAAH/+75I=")</f>
        <v>#REF!</v>
      </c>
      <c r="ER11" t="e">
        <f>AND(#REF!,"AAAAAH/+75M=")</f>
        <v>#REF!</v>
      </c>
      <c r="ES11" t="e">
        <f>AND(#REF!,"AAAAAH/+75Q=")</f>
        <v>#REF!</v>
      </c>
      <c r="ET11" t="e">
        <f>AND(#REF!,"AAAAAH/+75U=")</f>
        <v>#REF!</v>
      </c>
      <c r="EU11" t="e">
        <f>AND(#REF!,"AAAAAH/+75Y=")</f>
        <v>#REF!</v>
      </c>
      <c r="EV11" t="e">
        <f>AND(#REF!,"AAAAAH/+75c=")</f>
        <v>#REF!</v>
      </c>
      <c r="EW11" t="e">
        <f>AND(#REF!,"AAAAAH/+75g=")</f>
        <v>#REF!</v>
      </c>
      <c r="EX11" t="e">
        <f>AND(#REF!,"AAAAAH/+75k=")</f>
        <v>#REF!</v>
      </c>
      <c r="EY11" t="e">
        <f>AND(#REF!,"AAAAAH/+75o=")</f>
        <v>#REF!</v>
      </c>
      <c r="EZ11" t="e">
        <f>AND(#REF!,"AAAAAH/+75s=")</f>
        <v>#REF!</v>
      </c>
      <c r="FA11" t="e">
        <f>IF(#REF!,"AAAAAH/+75w=",0)</f>
        <v>#REF!</v>
      </c>
      <c r="FB11" t="e">
        <f>AND(#REF!,"AAAAAH/+750=")</f>
        <v>#REF!</v>
      </c>
      <c r="FC11" t="e">
        <f>AND(#REF!,"AAAAAH/+754=")</f>
        <v>#REF!</v>
      </c>
      <c r="FD11" t="e">
        <f>AND(#REF!,"AAAAAH/+758=")</f>
        <v>#REF!</v>
      </c>
      <c r="FE11" t="e">
        <f>AND(#REF!,"AAAAAH/+76A=")</f>
        <v>#REF!</v>
      </c>
      <c r="FF11" t="e">
        <f>AND(#REF!,"AAAAAH/+76E=")</f>
        <v>#REF!</v>
      </c>
      <c r="FG11" t="e">
        <f>AND(#REF!,"AAAAAH/+76I=")</f>
        <v>#REF!</v>
      </c>
      <c r="FH11" t="e">
        <f>AND(#REF!,"AAAAAH/+76M=")</f>
        <v>#REF!</v>
      </c>
      <c r="FI11" t="e">
        <f>AND(#REF!,"AAAAAH/+76Q=")</f>
        <v>#REF!</v>
      </c>
      <c r="FJ11" t="e">
        <f>AND(#REF!,"AAAAAH/+76U=")</f>
        <v>#REF!</v>
      </c>
      <c r="FK11" t="e">
        <f>AND(#REF!,"AAAAAH/+76Y=")</f>
        <v>#REF!</v>
      </c>
      <c r="FL11" t="e">
        <f>AND(#REF!,"AAAAAH/+76c=")</f>
        <v>#REF!</v>
      </c>
      <c r="FM11" t="e">
        <f>AND(#REF!,"AAAAAH/+76g=")</f>
        <v>#REF!</v>
      </c>
      <c r="FN11" t="e">
        <f>AND(#REF!,"AAAAAH/+76k=")</f>
        <v>#REF!</v>
      </c>
      <c r="FO11" t="e">
        <f>AND(#REF!,"AAAAAH/+76o=")</f>
        <v>#REF!</v>
      </c>
      <c r="FP11" t="e">
        <f>IF(#REF!,"AAAAAH/+76s=",0)</f>
        <v>#REF!</v>
      </c>
      <c r="FQ11" t="e">
        <f>AND(#REF!,"AAAAAH/+76w=")</f>
        <v>#REF!</v>
      </c>
      <c r="FR11" t="e">
        <f>AND(#REF!,"AAAAAH/+760=")</f>
        <v>#REF!</v>
      </c>
      <c r="FS11" t="e">
        <f>AND(#REF!,"AAAAAH/+764=")</f>
        <v>#REF!</v>
      </c>
      <c r="FT11" t="e">
        <f>AND(#REF!,"AAAAAH/+768=")</f>
        <v>#REF!</v>
      </c>
      <c r="FU11" t="e">
        <f>AND(#REF!,"AAAAAH/+77A=")</f>
        <v>#REF!</v>
      </c>
      <c r="FV11" t="e">
        <f>AND(#REF!,"AAAAAH/+77E=")</f>
        <v>#REF!</v>
      </c>
      <c r="FW11" t="e">
        <f>AND(#REF!,"AAAAAH/+77I=")</f>
        <v>#REF!</v>
      </c>
      <c r="FX11" t="e">
        <f>AND(#REF!,"AAAAAH/+77M=")</f>
        <v>#REF!</v>
      </c>
      <c r="FY11" t="e">
        <f>AND(#REF!,"AAAAAH/+77Q=")</f>
        <v>#REF!</v>
      </c>
      <c r="FZ11" t="e">
        <f>AND(#REF!,"AAAAAH/+77U=")</f>
        <v>#REF!</v>
      </c>
      <c r="GA11" t="e">
        <f>AND(#REF!,"AAAAAH/+77Y=")</f>
        <v>#REF!</v>
      </c>
      <c r="GB11" t="e">
        <f>AND(#REF!,"AAAAAH/+77c=")</f>
        <v>#REF!</v>
      </c>
      <c r="GC11" t="e">
        <f>AND(#REF!,"AAAAAH/+77g=")</f>
        <v>#REF!</v>
      </c>
      <c r="GD11" t="e">
        <f>AND(#REF!,"AAAAAH/+77k=")</f>
        <v>#REF!</v>
      </c>
      <c r="GE11" t="e">
        <f>IF(#REF!,"AAAAAH/+77o=",0)</f>
        <v>#REF!</v>
      </c>
      <c r="GF11" t="e">
        <f>AND(#REF!,"AAAAAH/+77s=")</f>
        <v>#REF!</v>
      </c>
      <c r="GG11" t="e">
        <f>AND(#REF!,"AAAAAH/+77w=")</f>
        <v>#REF!</v>
      </c>
      <c r="GH11" t="e">
        <f>AND(#REF!,"AAAAAH/+770=")</f>
        <v>#REF!</v>
      </c>
      <c r="GI11" t="e">
        <f>AND(#REF!,"AAAAAH/+774=")</f>
        <v>#REF!</v>
      </c>
      <c r="GJ11" t="e">
        <f>AND(#REF!,"AAAAAH/+778=")</f>
        <v>#REF!</v>
      </c>
      <c r="GK11" t="e">
        <f>AND(#REF!,"AAAAAH/+78A=")</f>
        <v>#REF!</v>
      </c>
      <c r="GL11" t="e">
        <f>AND(#REF!,"AAAAAH/+78E=")</f>
        <v>#REF!</v>
      </c>
      <c r="GM11" t="e">
        <f>AND(#REF!,"AAAAAH/+78I=")</f>
        <v>#REF!</v>
      </c>
      <c r="GN11" t="e">
        <f>AND(#REF!,"AAAAAH/+78M=")</f>
        <v>#REF!</v>
      </c>
      <c r="GO11" t="e">
        <f>AND(#REF!,"AAAAAH/+78Q=")</f>
        <v>#REF!</v>
      </c>
      <c r="GP11" t="e">
        <f>AND(#REF!,"AAAAAH/+78U=")</f>
        <v>#REF!</v>
      </c>
      <c r="GQ11" t="e">
        <f>AND(#REF!,"AAAAAH/+78Y=")</f>
        <v>#REF!</v>
      </c>
      <c r="GR11" t="e">
        <f>AND(#REF!,"AAAAAH/+78c=")</f>
        <v>#REF!</v>
      </c>
      <c r="GS11" t="e">
        <f>AND(#REF!,"AAAAAH/+78g=")</f>
        <v>#REF!</v>
      </c>
      <c r="GT11" t="e">
        <f>IF(#REF!,"AAAAAH/+78k=",0)</f>
        <v>#REF!</v>
      </c>
      <c r="GU11" t="e">
        <f>AND(#REF!,"AAAAAH/+78o=")</f>
        <v>#REF!</v>
      </c>
      <c r="GV11" t="e">
        <f>AND(#REF!,"AAAAAH/+78s=")</f>
        <v>#REF!</v>
      </c>
      <c r="GW11" t="e">
        <f>AND(#REF!,"AAAAAH/+78w=")</f>
        <v>#REF!</v>
      </c>
      <c r="GX11" t="e">
        <f>AND(#REF!,"AAAAAH/+780=")</f>
        <v>#REF!</v>
      </c>
      <c r="GY11" t="e">
        <f>AND(#REF!,"AAAAAH/+784=")</f>
        <v>#REF!</v>
      </c>
      <c r="GZ11" t="e">
        <f>AND(#REF!,"AAAAAH/+788=")</f>
        <v>#REF!</v>
      </c>
      <c r="HA11" t="e">
        <f>AND(#REF!,"AAAAAH/+79A=")</f>
        <v>#REF!</v>
      </c>
      <c r="HB11" t="e">
        <f>AND(#REF!,"AAAAAH/+79E=")</f>
        <v>#REF!</v>
      </c>
      <c r="HC11" t="e">
        <f>AND(#REF!,"AAAAAH/+79I=")</f>
        <v>#REF!</v>
      </c>
      <c r="HD11" t="e">
        <f>AND(#REF!,"AAAAAH/+79M=")</f>
        <v>#REF!</v>
      </c>
      <c r="HE11" t="e">
        <f>AND(#REF!,"AAAAAH/+79Q=")</f>
        <v>#REF!</v>
      </c>
      <c r="HF11" t="e">
        <f>AND(#REF!,"AAAAAH/+79U=")</f>
        <v>#REF!</v>
      </c>
      <c r="HG11" t="e">
        <f>AND(#REF!,"AAAAAH/+79Y=")</f>
        <v>#REF!</v>
      </c>
      <c r="HH11" t="e">
        <f>AND(#REF!,"AAAAAH/+79c=")</f>
        <v>#REF!</v>
      </c>
      <c r="HI11" t="e">
        <f>IF(#REF!,"AAAAAH/+79g=",0)</f>
        <v>#REF!</v>
      </c>
      <c r="HJ11" t="e">
        <f>AND(#REF!,"AAAAAH/+79k=")</f>
        <v>#REF!</v>
      </c>
      <c r="HK11" t="e">
        <f>AND(#REF!,"AAAAAH/+79o=")</f>
        <v>#REF!</v>
      </c>
      <c r="HL11" t="e">
        <f>AND(#REF!,"AAAAAH/+79s=")</f>
        <v>#REF!</v>
      </c>
      <c r="HM11" t="e">
        <f>AND(#REF!,"AAAAAH/+79w=")</f>
        <v>#REF!</v>
      </c>
      <c r="HN11" t="e">
        <f>AND(#REF!,"AAAAAH/+790=")</f>
        <v>#REF!</v>
      </c>
      <c r="HO11" t="e">
        <f>AND(#REF!,"AAAAAH/+794=")</f>
        <v>#REF!</v>
      </c>
      <c r="HP11" t="e">
        <f>AND(#REF!,"AAAAAH/+798=")</f>
        <v>#REF!</v>
      </c>
      <c r="HQ11" t="e">
        <f>AND(#REF!,"AAAAAH/+7+A=")</f>
        <v>#REF!</v>
      </c>
      <c r="HR11" t="e">
        <f>AND(#REF!,"AAAAAH/+7+E=")</f>
        <v>#REF!</v>
      </c>
      <c r="HS11" t="e">
        <f>AND(#REF!,"AAAAAH/+7+I=")</f>
        <v>#REF!</v>
      </c>
      <c r="HT11" t="e">
        <f>AND(#REF!,"AAAAAH/+7+M=")</f>
        <v>#REF!</v>
      </c>
      <c r="HU11" t="e">
        <f>AND(#REF!,"AAAAAH/+7+Q=")</f>
        <v>#REF!</v>
      </c>
      <c r="HV11" t="e">
        <f>AND(#REF!,"AAAAAH/+7+U=")</f>
        <v>#REF!</v>
      </c>
      <c r="HW11" t="e">
        <f>AND(#REF!,"AAAAAH/+7+Y=")</f>
        <v>#REF!</v>
      </c>
      <c r="HX11" t="e">
        <f>IF(#REF!,"AAAAAH/+7+c=",0)</f>
        <v>#REF!</v>
      </c>
      <c r="HY11" t="e">
        <f>AND(#REF!,"AAAAAH/+7+g=")</f>
        <v>#REF!</v>
      </c>
      <c r="HZ11" t="e">
        <f>AND(#REF!,"AAAAAH/+7+k=")</f>
        <v>#REF!</v>
      </c>
      <c r="IA11" t="e">
        <f>AND(#REF!,"AAAAAH/+7+o=")</f>
        <v>#REF!</v>
      </c>
      <c r="IB11" t="e">
        <f>AND(#REF!,"AAAAAH/+7+s=")</f>
        <v>#REF!</v>
      </c>
      <c r="IC11" t="e">
        <f>AND(#REF!,"AAAAAH/+7+w=")</f>
        <v>#REF!</v>
      </c>
      <c r="ID11" t="e">
        <f>AND(#REF!,"AAAAAH/+7+0=")</f>
        <v>#REF!</v>
      </c>
      <c r="IE11" t="e">
        <f>AND(#REF!,"AAAAAH/+7+4=")</f>
        <v>#REF!</v>
      </c>
      <c r="IF11" t="e">
        <f>AND(#REF!,"AAAAAH/+7+8=")</f>
        <v>#REF!</v>
      </c>
      <c r="IG11" t="e">
        <f>AND(#REF!,"AAAAAH/+7/A=")</f>
        <v>#REF!</v>
      </c>
      <c r="IH11" t="e">
        <f>AND(#REF!,"AAAAAH/+7/E=")</f>
        <v>#REF!</v>
      </c>
      <c r="II11" t="e">
        <f>AND(#REF!,"AAAAAH/+7/I=")</f>
        <v>#REF!</v>
      </c>
      <c r="IJ11" t="e">
        <f>AND(#REF!,"AAAAAH/+7/M=")</f>
        <v>#REF!</v>
      </c>
      <c r="IK11" t="e">
        <f>AND(#REF!,"AAAAAH/+7/Q=")</f>
        <v>#REF!</v>
      </c>
      <c r="IL11" t="e">
        <f>AND(#REF!,"AAAAAH/+7/U=")</f>
        <v>#REF!</v>
      </c>
      <c r="IM11" t="e">
        <f>IF(#REF!,"AAAAAH/+7/Y=",0)</f>
        <v>#REF!</v>
      </c>
      <c r="IN11" t="e">
        <f>AND(#REF!,"AAAAAH/+7/c=")</f>
        <v>#REF!</v>
      </c>
      <c r="IO11" t="e">
        <f>AND(#REF!,"AAAAAH/+7/g=")</f>
        <v>#REF!</v>
      </c>
      <c r="IP11" t="e">
        <f>AND(#REF!,"AAAAAH/+7/k=")</f>
        <v>#REF!</v>
      </c>
      <c r="IQ11" t="e">
        <f>AND(#REF!,"AAAAAH/+7/o=")</f>
        <v>#REF!</v>
      </c>
      <c r="IR11" t="e">
        <f>AND(#REF!,"AAAAAH/+7/s=")</f>
        <v>#REF!</v>
      </c>
      <c r="IS11" t="e">
        <f>AND(#REF!,"AAAAAH/+7/w=")</f>
        <v>#REF!</v>
      </c>
      <c r="IT11" t="e">
        <f>AND(#REF!,"AAAAAH/+7/0=")</f>
        <v>#REF!</v>
      </c>
      <c r="IU11" t="e">
        <f>AND(#REF!,"AAAAAH/+7/4=")</f>
        <v>#REF!</v>
      </c>
      <c r="IV11" t="e">
        <f>AND(#REF!,"AAAAAH/+7/8=")</f>
        <v>#REF!</v>
      </c>
    </row>
    <row r="12" spans="1:256">
      <c r="A12" t="e">
        <f>AND(#REF!,"AAAAADzO3QA=")</f>
        <v>#REF!</v>
      </c>
      <c r="B12" t="e">
        <f>AND(#REF!,"AAAAADzO3QE=")</f>
        <v>#REF!</v>
      </c>
      <c r="C12" t="e">
        <f>AND(#REF!,"AAAAADzO3QI=")</f>
        <v>#REF!</v>
      </c>
      <c r="D12" t="e">
        <f>AND(#REF!,"AAAAADzO3QM=")</f>
        <v>#REF!</v>
      </c>
      <c r="E12" t="e">
        <f>AND(#REF!,"AAAAADzO3QQ=")</f>
        <v>#REF!</v>
      </c>
      <c r="F12" t="e">
        <f>IF(#REF!,"AAAAADzO3QU=",0)</f>
        <v>#REF!</v>
      </c>
      <c r="G12" t="e">
        <f>AND(#REF!,"AAAAADzO3QY=")</f>
        <v>#REF!</v>
      </c>
      <c r="H12" t="e">
        <f>AND(#REF!,"AAAAADzO3Qc=")</f>
        <v>#REF!</v>
      </c>
      <c r="I12" t="e">
        <f>AND(#REF!,"AAAAADzO3Qg=")</f>
        <v>#REF!</v>
      </c>
      <c r="J12" t="e">
        <f>AND(#REF!,"AAAAADzO3Qk=")</f>
        <v>#REF!</v>
      </c>
      <c r="K12" t="e">
        <f>AND(#REF!,"AAAAADzO3Qo=")</f>
        <v>#REF!</v>
      </c>
      <c r="L12" t="e">
        <f>AND(#REF!,"AAAAADzO3Qs=")</f>
        <v>#REF!</v>
      </c>
      <c r="M12" t="e">
        <f>AND(#REF!,"AAAAADzO3Qw=")</f>
        <v>#REF!</v>
      </c>
      <c r="N12" t="e">
        <f>AND(#REF!,"AAAAADzO3Q0=")</f>
        <v>#REF!</v>
      </c>
      <c r="O12" t="e">
        <f>AND(#REF!,"AAAAADzO3Q4=")</f>
        <v>#REF!</v>
      </c>
      <c r="P12" t="e">
        <f>AND(#REF!,"AAAAADzO3Q8=")</f>
        <v>#REF!</v>
      </c>
      <c r="Q12" t="e">
        <f>AND(#REF!,"AAAAADzO3RA=")</f>
        <v>#REF!</v>
      </c>
      <c r="R12" t="e">
        <f>AND(#REF!,"AAAAADzO3RE=")</f>
        <v>#REF!</v>
      </c>
      <c r="S12" t="e">
        <f>AND(#REF!,"AAAAADzO3RI=")</f>
        <v>#REF!</v>
      </c>
      <c r="T12" t="e">
        <f>AND(#REF!,"AAAAADzO3RM=")</f>
        <v>#REF!</v>
      </c>
      <c r="U12" t="e">
        <f>IF(#REF!,"AAAAADzO3RQ=",0)</f>
        <v>#REF!</v>
      </c>
      <c r="V12" t="e">
        <f>AND(#REF!,"AAAAADzO3RU=")</f>
        <v>#REF!</v>
      </c>
      <c r="W12" t="e">
        <f>AND(#REF!,"AAAAADzO3RY=")</f>
        <v>#REF!</v>
      </c>
      <c r="X12" t="e">
        <f>AND(#REF!,"AAAAADzO3Rc=")</f>
        <v>#REF!</v>
      </c>
      <c r="Y12" t="e">
        <f>AND(#REF!,"AAAAADzO3Rg=")</f>
        <v>#REF!</v>
      </c>
      <c r="Z12" t="e">
        <f>AND(#REF!,"AAAAADzO3Rk=")</f>
        <v>#REF!</v>
      </c>
      <c r="AA12" t="e">
        <f>AND(#REF!,"AAAAADzO3Ro=")</f>
        <v>#REF!</v>
      </c>
      <c r="AB12" t="e">
        <f>AND(#REF!,"AAAAADzO3Rs=")</f>
        <v>#REF!</v>
      </c>
      <c r="AC12" t="e">
        <f>AND(#REF!,"AAAAADzO3Rw=")</f>
        <v>#REF!</v>
      </c>
      <c r="AD12" t="e">
        <f>AND(#REF!,"AAAAADzO3R0=")</f>
        <v>#REF!</v>
      </c>
      <c r="AE12" t="e">
        <f>AND(#REF!,"AAAAADzO3R4=")</f>
        <v>#REF!</v>
      </c>
      <c r="AF12" t="e">
        <f>AND(#REF!,"AAAAADzO3R8=")</f>
        <v>#REF!</v>
      </c>
      <c r="AG12" t="e">
        <f>AND(#REF!,"AAAAADzO3SA=")</f>
        <v>#REF!</v>
      </c>
      <c r="AH12" t="e">
        <f>AND(#REF!,"AAAAADzO3SE=")</f>
        <v>#REF!</v>
      </c>
      <c r="AI12" t="e">
        <f>AND(#REF!,"AAAAADzO3SI=")</f>
        <v>#REF!</v>
      </c>
      <c r="AJ12" t="e">
        <f>IF(#REF!,"AAAAADzO3SM=",0)</f>
        <v>#REF!</v>
      </c>
      <c r="AK12" t="e">
        <f>AND(#REF!,"AAAAADzO3SQ=")</f>
        <v>#REF!</v>
      </c>
      <c r="AL12" t="e">
        <f>AND(#REF!,"AAAAADzO3SU=")</f>
        <v>#REF!</v>
      </c>
      <c r="AM12" t="e">
        <f>AND(#REF!,"AAAAADzO3SY=")</f>
        <v>#REF!</v>
      </c>
      <c r="AN12" t="e">
        <f>AND(#REF!,"AAAAADzO3Sc=")</f>
        <v>#REF!</v>
      </c>
      <c r="AO12" t="e">
        <f>AND(#REF!,"AAAAADzO3Sg=")</f>
        <v>#REF!</v>
      </c>
      <c r="AP12" t="e">
        <f>AND(#REF!,"AAAAADzO3Sk=")</f>
        <v>#REF!</v>
      </c>
      <c r="AQ12" t="e">
        <f>AND(#REF!,"AAAAADzO3So=")</f>
        <v>#REF!</v>
      </c>
      <c r="AR12" t="e">
        <f>AND(#REF!,"AAAAADzO3Ss=")</f>
        <v>#REF!</v>
      </c>
      <c r="AS12" t="e">
        <f>AND(#REF!,"AAAAADzO3Sw=")</f>
        <v>#REF!</v>
      </c>
      <c r="AT12" t="e">
        <f>AND(#REF!,"AAAAADzO3S0=")</f>
        <v>#REF!</v>
      </c>
      <c r="AU12" t="e">
        <f>AND(#REF!,"AAAAADzO3S4=")</f>
        <v>#REF!</v>
      </c>
      <c r="AV12" t="e">
        <f>AND(#REF!,"AAAAADzO3S8=")</f>
        <v>#REF!</v>
      </c>
      <c r="AW12" t="e">
        <f>AND(#REF!,"AAAAADzO3TA=")</f>
        <v>#REF!</v>
      </c>
      <c r="AX12" t="e">
        <f>AND(#REF!,"AAAAADzO3TE=")</f>
        <v>#REF!</v>
      </c>
      <c r="AY12" t="e">
        <f>IF(#REF!,"AAAAADzO3TI=",0)</f>
        <v>#REF!</v>
      </c>
      <c r="AZ12" t="e">
        <f>AND(#REF!,"AAAAADzO3TM=")</f>
        <v>#REF!</v>
      </c>
      <c r="BA12" t="e">
        <f>AND(#REF!,"AAAAADzO3TQ=")</f>
        <v>#REF!</v>
      </c>
      <c r="BB12" t="e">
        <f>AND(#REF!,"AAAAADzO3TU=")</f>
        <v>#REF!</v>
      </c>
      <c r="BC12" t="e">
        <f>AND(#REF!,"AAAAADzO3TY=")</f>
        <v>#REF!</v>
      </c>
      <c r="BD12" t="e">
        <f>AND(#REF!,"AAAAADzO3Tc=")</f>
        <v>#REF!</v>
      </c>
      <c r="BE12" t="e">
        <f>AND(#REF!,"AAAAADzO3Tg=")</f>
        <v>#REF!</v>
      </c>
      <c r="BF12" t="e">
        <f>AND(#REF!,"AAAAADzO3Tk=")</f>
        <v>#REF!</v>
      </c>
      <c r="BG12" t="e">
        <f>AND(#REF!,"AAAAADzO3To=")</f>
        <v>#REF!</v>
      </c>
      <c r="BH12" t="e">
        <f>AND(#REF!,"AAAAADzO3Ts=")</f>
        <v>#REF!</v>
      </c>
      <c r="BI12" t="e">
        <f>AND(#REF!,"AAAAADzO3Tw=")</f>
        <v>#REF!</v>
      </c>
      <c r="BJ12" t="e">
        <f>AND(#REF!,"AAAAADzO3T0=")</f>
        <v>#REF!</v>
      </c>
      <c r="BK12" t="e">
        <f>AND(#REF!,"AAAAADzO3T4=")</f>
        <v>#REF!</v>
      </c>
      <c r="BL12" t="e">
        <f>AND(#REF!,"AAAAADzO3T8=")</f>
        <v>#REF!</v>
      </c>
      <c r="BM12" t="e">
        <f>AND(#REF!,"AAAAADzO3UA=")</f>
        <v>#REF!</v>
      </c>
      <c r="BN12" t="e">
        <f>IF(#REF!,"AAAAADzO3UE=",0)</f>
        <v>#REF!</v>
      </c>
      <c r="BO12" t="e">
        <f>AND(#REF!,"AAAAADzO3UI=")</f>
        <v>#REF!</v>
      </c>
      <c r="BP12" t="e">
        <f>AND(#REF!,"AAAAADzO3UM=")</f>
        <v>#REF!</v>
      </c>
      <c r="BQ12" t="e">
        <f>AND(#REF!,"AAAAADzO3UQ=")</f>
        <v>#REF!</v>
      </c>
      <c r="BR12" t="e">
        <f>AND(#REF!,"AAAAADzO3UU=")</f>
        <v>#REF!</v>
      </c>
      <c r="BS12" t="e">
        <f>AND(#REF!,"AAAAADzO3UY=")</f>
        <v>#REF!</v>
      </c>
      <c r="BT12" t="e">
        <f>AND(#REF!,"AAAAADzO3Uc=")</f>
        <v>#REF!</v>
      </c>
      <c r="BU12" t="e">
        <f>AND(#REF!,"AAAAADzO3Ug=")</f>
        <v>#REF!</v>
      </c>
      <c r="BV12" t="e">
        <f>AND(#REF!,"AAAAADzO3Uk=")</f>
        <v>#REF!</v>
      </c>
      <c r="BW12" t="e">
        <f>AND(#REF!,"AAAAADzO3Uo=")</f>
        <v>#REF!</v>
      </c>
      <c r="BX12" t="e">
        <f>AND(#REF!,"AAAAADzO3Us=")</f>
        <v>#REF!</v>
      </c>
      <c r="BY12" t="e">
        <f>AND(#REF!,"AAAAADzO3Uw=")</f>
        <v>#REF!</v>
      </c>
      <c r="BZ12" t="e">
        <f>AND(#REF!,"AAAAADzO3U0=")</f>
        <v>#REF!</v>
      </c>
      <c r="CA12" t="e">
        <f>AND(#REF!,"AAAAADzO3U4=")</f>
        <v>#REF!</v>
      </c>
      <c r="CB12" t="e">
        <f>AND(#REF!,"AAAAADzO3U8=")</f>
        <v>#REF!</v>
      </c>
      <c r="CC12" t="e">
        <f>IF(#REF!,"AAAAADzO3VA=",0)</f>
        <v>#REF!</v>
      </c>
      <c r="CD12" t="e">
        <f>AND(#REF!,"AAAAADzO3VE=")</f>
        <v>#REF!</v>
      </c>
      <c r="CE12" t="e">
        <f>AND(#REF!,"AAAAADzO3VI=")</f>
        <v>#REF!</v>
      </c>
      <c r="CF12" t="e">
        <f>AND(#REF!,"AAAAADzO3VM=")</f>
        <v>#REF!</v>
      </c>
      <c r="CG12" t="e">
        <f>AND(#REF!,"AAAAADzO3VQ=")</f>
        <v>#REF!</v>
      </c>
      <c r="CH12" t="e">
        <f>AND(#REF!,"AAAAADzO3VU=")</f>
        <v>#REF!</v>
      </c>
      <c r="CI12" t="e">
        <f>AND(#REF!,"AAAAADzO3VY=")</f>
        <v>#REF!</v>
      </c>
      <c r="CJ12" t="e">
        <f>AND(#REF!,"AAAAADzO3Vc=")</f>
        <v>#REF!</v>
      </c>
      <c r="CK12" t="e">
        <f>AND(#REF!,"AAAAADzO3Vg=")</f>
        <v>#REF!</v>
      </c>
      <c r="CL12" t="e">
        <f>AND(#REF!,"AAAAADzO3Vk=")</f>
        <v>#REF!</v>
      </c>
      <c r="CM12" t="e">
        <f>AND(#REF!,"AAAAADzO3Vo=")</f>
        <v>#REF!</v>
      </c>
      <c r="CN12" t="e">
        <f>AND(#REF!,"AAAAADzO3Vs=")</f>
        <v>#REF!</v>
      </c>
      <c r="CO12" t="e">
        <f>AND(#REF!,"AAAAADzO3Vw=")</f>
        <v>#REF!</v>
      </c>
      <c r="CP12" t="e">
        <f>AND(#REF!,"AAAAADzO3V0=")</f>
        <v>#REF!</v>
      </c>
      <c r="CQ12" t="e">
        <f>AND(#REF!,"AAAAADzO3V4=")</f>
        <v>#REF!</v>
      </c>
      <c r="CR12" t="e">
        <f>IF(#REF!,"AAAAADzO3V8=",0)</f>
        <v>#REF!</v>
      </c>
      <c r="CS12" t="e">
        <f>AND(#REF!,"AAAAADzO3WA=")</f>
        <v>#REF!</v>
      </c>
      <c r="CT12" t="e">
        <f>AND(#REF!,"AAAAADzO3WE=")</f>
        <v>#REF!</v>
      </c>
      <c r="CU12" t="e">
        <f>AND(#REF!,"AAAAADzO3WI=")</f>
        <v>#REF!</v>
      </c>
      <c r="CV12" t="e">
        <f>AND(#REF!,"AAAAADzO3WM=")</f>
        <v>#REF!</v>
      </c>
      <c r="CW12" t="e">
        <f>AND(#REF!,"AAAAADzO3WQ=")</f>
        <v>#REF!</v>
      </c>
      <c r="CX12" t="e">
        <f>AND(#REF!,"AAAAADzO3WU=")</f>
        <v>#REF!</v>
      </c>
      <c r="CY12" t="e">
        <f>AND(#REF!,"AAAAADzO3WY=")</f>
        <v>#REF!</v>
      </c>
      <c r="CZ12" t="e">
        <f>AND(#REF!,"AAAAADzO3Wc=")</f>
        <v>#REF!</v>
      </c>
      <c r="DA12" t="e">
        <f>AND(#REF!,"AAAAADzO3Wg=")</f>
        <v>#REF!</v>
      </c>
      <c r="DB12" t="e">
        <f>AND(#REF!,"AAAAADzO3Wk=")</f>
        <v>#REF!</v>
      </c>
      <c r="DC12" t="e">
        <f>AND(#REF!,"AAAAADzO3Wo=")</f>
        <v>#REF!</v>
      </c>
      <c r="DD12" t="e">
        <f>AND(#REF!,"AAAAADzO3Ws=")</f>
        <v>#REF!</v>
      </c>
      <c r="DE12" t="e">
        <f>AND(#REF!,"AAAAADzO3Ww=")</f>
        <v>#REF!</v>
      </c>
      <c r="DF12" t="e">
        <f>AND(#REF!,"AAAAADzO3W0=")</f>
        <v>#REF!</v>
      </c>
      <c r="DG12" t="e">
        <f>IF(#REF!,"AAAAADzO3W4=",0)</f>
        <v>#REF!</v>
      </c>
      <c r="DH12" t="e">
        <f>AND(#REF!,"AAAAADzO3W8=")</f>
        <v>#REF!</v>
      </c>
      <c r="DI12" t="e">
        <f>AND(#REF!,"AAAAADzO3XA=")</f>
        <v>#REF!</v>
      </c>
      <c r="DJ12" t="e">
        <f>AND(#REF!,"AAAAADzO3XE=")</f>
        <v>#REF!</v>
      </c>
      <c r="DK12" t="e">
        <f>AND(#REF!,"AAAAADzO3XI=")</f>
        <v>#REF!</v>
      </c>
      <c r="DL12" t="e">
        <f>AND(#REF!,"AAAAADzO3XM=")</f>
        <v>#REF!</v>
      </c>
      <c r="DM12" t="e">
        <f>AND(#REF!,"AAAAADzO3XQ=")</f>
        <v>#REF!</v>
      </c>
      <c r="DN12" t="e">
        <f>AND(#REF!,"AAAAADzO3XU=")</f>
        <v>#REF!</v>
      </c>
      <c r="DO12" t="e">
        <f>AND(#REF!,"AAAAADzO3XY=")</f>
        <v>#REF!</v>
      </c>
      <c r="DP12" t="e">
        <f>AND(#REF!,"AAAAADzO3Xc=")</f>
        <v>#REF!</v>
      </c>
      <c r="DQ12" t="e">
        <f>AND(#REF!,"AAAAADzO3Xg=")</f>
        <v>#REF!</v>
      </c>
      <c r="DR12" t="e">
        <f>AND(#REF!,"AAAAADzO3Xk=")</f>
        <v>#REF!</v>
      </c>
      <c r="DS12" t="e">
        <f>AND(#REF!,"AAAAADzO3Xo=")</f>
        <v>#REF!</v>
      </c>
      <c r="DT12" t="e">
        <f>AND(#REF!,"AAAAADzO3Xs=")</f>
        <v>#REF!</v>
      </c>
      <c r="DU12" t="e">
        <f>AND(#REF!,"AAAAADzO3Xw=")</f>
        <v>#REF!</v>
      </c>
      <c r="DV12" t="e">
        <f>IF(#REF!,"AAAAADzO3X0=",0)</f>
        <v>#REF!</v>
      </c>
      <c r="DW12" t="e">
        <f>AND(#REF!,"AAAAADzO3X4=")</f>
        <v>#REF!</v>
      </c>
      <c r="DX12" t="e">
        <f>AND(#REF!,"AAAAADzO3X8=")</f>
        <v>#REF!</v>
      </c>
      <c r="DY12" t="e">
        <f>AND(#REF!,"AAAAADzO3YA=")</f>
        <v>#REF!</v>
      </c>
      <c r="DZ12" t="e">
        <f>AND(#REF!,"AAAAADzO3YE=")</f>
        <v>#REF!</v>
      </c>
      <c r="EA12" t="e">
        <f>AND(#REF!,"AAAAADzO3YI=")</f>
        <v>#REF!</v>
      </c>
      <c r="EB12" t="e">
        <f>AND(#REF!,"AAAAADzO3YM=")</f>
        <v>#REF!</v>
      </c>
      <c r="EC12" t="e">
        <f>AND(#REF!,"AAAAADzO3YQ=")</f>
        <v>#REF!</v>
      </c>
      <c r="ED12" t="e">
        <f>AND(#REF!,"AAAAADzO3YU=")</f>
        <v>#REF!</v>
      </c>
      <c r="EE12" t="e">
        <f>AND(#REF!,"AAAAADzO3YY=")</f>
        <v>#REF!</v>
      </c>
      <c r="EF12" t="e">
        <f>AND(#REF!,"AAAAADzO3Yc=")</f>
        <v>#REF!</v>
      </c>
      <c r="EG12" t="e">
        <f>AND(#REF!,"AAAAADzO3Yg=")</f>
        <v>#REF!</v>
      </c>
      <c r="EH12" t="e">
        <f>AND(#REF!,"AAAAADzO3Yk=")</f>
        <v>#REF!</v>
      </c>
      <c r="EI12" t="e">
        <f>AND(#REF!,"AAAAADzO3Yo=")</f>
        <v>#REF!</v>
      </c>
      <c r="EJ12" t="e">
        <f>AND(#REF!,"AAAAADzO3Ys=")</f>
        <v>#REF!</v>
      </c>
      <c r="EK12" t="e">
        <f>IF(#REF!,"AAAAADzO3Yw=",0)</f>
        <v>#REF!</v>
      </c>
      <c r="EL12" t="e">
        <f>AND(#REF!,"AAAAADzO3Y0=")</f>
        <v>#REF!</v>
      </c>
      <c r="EM12" t="e">
        <f>AND(#REF!,"AAAAADzO3Y4=")</f>
        <v>#REF!</v>
      </c>
      <c r="EN12" t="e">
        <f>AND(#REF!,"AAAAADzO3Y8=")</f>
        <v>#REF!</v>
      </c>
      <c r="EO12" t="e">
        <f>AND(#REF!,"AAAAADzO3ZA=")</f>
        <v>#REF!</v>
      </c>
      <c r="EP12" t="e">
        <f>AND(#REF!,"AAAAADzO3ZE=")</f>
        <v>#REF!</v>
      </c>
      <c r="EQ12" t="e">
        <f>AND(#REF!,"AAAAADzO3ZI=")</f>
        <v>#REF!</v>
      </c>
      <c r="ER12" t="e">
        <f>AND(#REF!,"AAAAADzO3ZM=")</f>
        <v>#REF!</v>
      </c>
      <c r="ES12" t="e">
        <f>AND(#REF!,"AAAAADzO3ZQ=")</f>
        <v>#REF!</v>
      </c>
      <c r="ET12" t="e">
        <f>AND(#REF!,"AAAAADzO3ZU=")</f>
        <v>#REF!</v>
      </c>
      <c r="EU12" t="e">
        <f>AND(#REF!,"AAAAADzO3ZY=")</f>
        <v>#REF!</v>
      </c>
      <c r="EV12" t="e">
        <f>AND(#REF!,"AAAAADzO3Zc=")</f>
        <v>#REF!</v>
      </c>
      <c r="EW12" t="e">
        <f>AND(#REF!,"AAAAADzO3Zg=")</f>
        <v>#REF!</v>
      </c>
      <c r="EX12" t="e">
        <f>AND(#REF!,"AAAAADzO3Zk=")</f>
        <v>#REF!</v>
      </c>
      <c r="EY12" t="e">
        <f>AND(#REF!,"AAAAADzO3Zo=")</f>
        <v>#REF!</v>
      </c>
      <c r="EZ12" t="e">
        <f>IF(#REF!,"AAAAADzO3Zs=",0)</f>
        <v>#REF!</v>
      </c>
      <c r="FA12" t="e">
        <f>AND(#REF!,"AAAAADzO3Zw=")</f>
        <v>#REF!</v>
      </c>
      <c r="FB12" t="e">
        <f>AND(#REF!,"AAAAADzO3Z0=")</f>
        <v>#REF!</v>
      </c>
      <c r="FC12" t="e">
        <f>AND(#REF!,"AAAAADzO3Z4=")</f>
        <v>#REF!</v>
      </c>
      <c r="FD12" t="e">
        <f>AND(#REF!,"AAAAADzO3Z8=")</f>
        <v>#REF!</v>
      </c>
      <c r="FE12" t="e">
        <f>AND(#REF!,"AAAAADzO3aA=")</f>
        <v>#REF!</v>
      </c>
      <c r="FF12" t="e">
        <f>AND(#REF!,"AAAAADzO3aE=")</f>
        <v>#REF!</v>
      </c>
      <c r="FG12" t="e">
        <f>AND(#REF!,"AAAAADzO3aI=")</f>
        <v>#REF!</v>
      </c>
      <c r="FH12" t="e">
        <f>AND(#REF!,"AAAAADzO3aM=")</f>
        <v>#REF!</v>
      </c>
      <c r="FI12" t="e">
        <f>AND(#REF!,"AAAAADzO3aQ=")</f>
        <v>#REF!</v>
      </c>
      <c r="FJ12" t="e">
        <f>AND(#REF!,"AAAAADzO3aU=")</f>
        <v>#REF!</v>
      </c>
      <c r="FK12" t="e">
        <f>AND(#REF!,"AAAAADzO3aY=")</f>
        <v>#REF!</v>
      </c>
      <c r="FL12" t="e">
        <f>AND(#REF!,"AAAAADzO3ac=")</f>
        <v>#REF!</v>
      </c>
      <c r="FM12" t="e">
        <f>AND(#REF!,"AAAAADzO3ag=")</f>
        <v>#REF!</v>
      </c>
      <c r="FN12" t="e">
        <f>AND(#REF!,"AAAAADzO3ak=")</f>
        <v>#REF!</v>
      </c>
      <c r="FO12" t="e">
        <f>IF(#REF!,"AAAAADzO3ao=",0)</f>
        <v>#REF!</v>
      </c>
      <c r="FP12" t="e">
        <f>AND(#REF!,"AAAAADzO3as=")</f>
        <v>#REF!</v>
      </c>
      <c r="FQ12" t="e">
        <f>AND(#REF!,"AAAAADzO3aw=")</f>
        <v>#REF!</v>
      </c>
      <c r="FR12" t="e">
        <f>AND(#REF!,"AAAAADzO3a0=")</f>
        <v>#REF!</v>
      </c>
      <c r="FS12" t="e">
        <f>AND(#REF!,"AAAAADzO3a4=")</f>
        <v>#REF!</v>
      </c>
      <c r="FT12" t="e">
        <f>AND(#REF!,"AAAAADzO3a8=")</f>
        <v>#REF!</v>
      </c>
      <c r="FU12" t="e">
        <f>AND(#REF!,"AAAAADzO3bA=")</f>
        <v>#REF!</v>
      </c>
      <c r="FV12" t="e">
        <f>AND(#REF!,"AAAAADzO3bE=")</f>
        <v>#REF!</v>
      </c>
      <c r="FW12" t="e">
        <f>AND(#REF!,"AAAAADzO3bI=")</f>
        <v>#REF!</v>
      </c>
      <c r="FX12" t="e">
        <f>AND(#REF!,"AAAAADzO3bM=")</f>
        <v>#REF!</v>
      </c>
      <c r="FY12" t="e">
        <f>AND(#REF!,"AAAAADzO3bQ=")</f>
        <v>#REF!</v>
      </c>
      <c r="FZ12" t="e">
        <f>AND(#REF!,"AAAAADzO3bU=")</f>
        <v>#REF!</v>
      </c>
      <c r="GA12" t="e">
        <f>AND(#REF!,"AAAAADzO3bY=")</f>
        <v>#REF!</v>
      </c>
      <c r="GB12" t="e">
        <f>AND(#REF!,"AAAAADzO3bc=")</f>
        <v>#REF!</v>
      </c>
      <c r="GC12" t="e">
        <f>AND(#REF!,"AAAAADzO3bg=")</f>
        <v>#REF!</v>
      </c>
      <c r="GD12" t="e">
        <f>IF(#REF!,"AAAAADzO3bk=",0)</f>
        <v>#REF!</v>
      </c>
      <c r="GE12" t="e">
        <f>AND(#REF!,"AAAAADzO3bo=")</f>
        <v>#REF!</v>
      </c>
      <c r="GF12" t="e">
        <f>AND(#REF!,"AAAAADzO3bs=")</f>
        <v>#REF!</v>
      </c>
      <c r="GG12" t="e">
        <f>AND(#REF!,"AAAAADzO3bw=")</f>
        <v>#REF!</v>
      </c>
      <c r="GH12" t="e">
        <f>AND(#REF!,"AAAAADzO3b0=")</f>
        <v>#REF!</v>
      </c>
      <c r="GI12" t="e">
        <f>AND(#REF!,"AAAAADzO3b4=")</f>
        <v>#REF!</v>
      </c>
      <c r="GJ12" t="e">
        <f>AND(#REF!,"AAAAADzO3b8=")</f>
        <v>#REF!</v>
      </c>
      <c r="GK12" t="e">
        <f>AND(#REF!,"AAAAADzO3cA=")</f>
        <v>#REF!</v>
      </c>
      <c r="GL12" t="e">
        <f>AND(#REF!,"AAAAADzO3cE=")</f>
        <v>#REF!</v>
      </c>
      <c r="GM12" t="e">
        <f>AND(#REF!,"AAAAADzO3cI=")</f>
        <v>#REF!</v>
      </c>
      <c r="GN12" t="e">
        <f>AND(#REF!,"AAAAADzO3cM=")</f>
        <v>#REF!</v>
      </c>
      <c r="GO12" t="e">
        <f>AND(#REF!,"AAAAADzO3cQ=")</f>
        <v>#REF!</v>
      </c>
      <c r="GP12" t="e">
        <f>AND(#REF!,"AAAAADzO3cU=")</f>
        <v>#REF!</v>
      </c>
      <c r="GQ12" t="e">
        <f>AND(#REF!,"AAAAADzO3cY=")</f>
        <v>#REF!</v>
      </c>
      <c r="GR12" t="e">
        <f>AND(#REF!,"AAAAADzO3cc=")</f>
        <v>#REF!</v>
      </c>
      <c r="GS12" t="e">
        <f>IF(#REF!,"AAAAADzO3cg=",0)</f>
        <v>#REF!</v>
      </c>
      <c r="GT12" t="e">
        <f>AND(#REF!,"AAAAADzO3ck=")</f>
        <v>#REF!</v>
      </c>
      <c r="GU12" t="e">
        <f>AND(#REF!,"AAAAADzO3co=")</f>
        <v>#REF!</v>
      </c>
      <c r="GV12" t="e">
        <f>AND(#REF!,"AAAAADzO3cs=")</f>
        <v>#REF!</v>
      </c>
      <c r="GW12" t="e">
        <f>AND(#REF!,"AAAAADzO3cw=")</f>
        <v>#REF!</v>
      </c>
      <c r="GX12" t="e">
        <f>AND(#REF!,"AAAAADzO3c0=")</f>
        <v>#REF!</v>
      </c>
      <c r="GY12" t="e">
        <f>AND(#REF!,"AAAAADzO3c4=")</f>
        <v>#REF!</v>
      </c>
      <c r="GZ12" t="e">
        <f>AND(#REF!,"AAAAADzO3c8=")</f>
        <v>#REF!</v>
      </c>
      <c r="HA12" t="e">
        <f>AND(#REF!,"AAAAADzO3dA=")</f>
        <v>#REF!</v>
      </c>
      <c r="HB12" t="e">
        <f>AND(#REF!,"AAAAADzO3dE=")</f>
        <v>#REF!</v>
      </c>
      <c r="HC12" t="e">
        <f>AND(#REF!,"AAAAADzO3dI=")</f>
        <v>#REF!</v>
      </c>
      <c r="HD12" t="e">
        <f>AND(#REF!,"AAAAADzO3dM=")</f>
        <v>#REF!</v>
      </c>
      <c r="HE12" t="e">
        <f>AND(#REF!,"AAAAADzO3dQ=")</f>
        <v>#REF!</v>
      </c>
      <c r="HF12" t="e">
        <f>AND(#REF!,"AAAAADzO3dU=")</f>
        <v>#REF!</v>
      </c>
      <c r="HG12" t="e">
        <f>AND(#REF!,"AAAAADzO3dY=")</f>
        <v>#REF!</v>
      </c>
      <c r="HH12" t="e">
        <f>IF(#REF!,"AAAAADzO3dc=",0)</f>
        <v>#REF!</v>
      </c>
      <c r="HI12" t="e">
        <f>AND(#REF!,"AAAAADzO3dg=")</f>
        <v>#REF!</v>
      </c>
      <c r="HJ12" t="e">
        <f>AND(#REF!,"AAAAADzO3dk=")</f>
        <v>#REF!</v>
      </c>
      <c r="HK12" t="e">
        <f>AND(#REF!,"AAAAADzO3do=")</f>
        <v>#REF!</v>
      </c>
      <c r="HL12" t="e">
        <f>AND(#REF!,"AAAAADzO3ds=")</f>
        <v>#REF!</v>
      </c>
      <c r="HM12" t="e">
        <f>AND(#REF!,"AAAAADzO3dw=")</f>
        <v>#REF!</v>
      </c>
      <c r="HN12" t="e">
        <f>AND(#REF!,"AAAAADzO3d0=")</f>
        <v>#REF!</v>
      </c>
      <c r="HO12" t="e">
        <f>AND(#REF!,"AAAAADzO3d4=")</f>
        <v>#REF!</v>
      </c>
      <c r="HP12" t="e">
        <f>AND(#REF!,"AAAAADzO3d8=")</f>
        <v>#REF!</v>
      </c>
      <c r="HQ12" t="e">
        <f>AND(#REF!,"AAAAADzO3eA=")</f>
        <v>#REF!</v>
      </c>
      <c r="HR12" t="e">
        <f>AND(#REF!,"AAAAADzO3eE=")</f>
        <v>#REF!</v>
      </c>
      <c r="HS12" t="e">
        <f>AND(#REF!,"AAAAADzO3eI=")</f>
        <v>#REF!</v>
      </c>
      <c r="HT12" t="e">
        <f>AND(#REF!,"AAAAADzO3eM=")</f>
        <v>#REF!</v>
      </c>
      <c r="HU12" t="e">
        <f>AND(#REF!,"AAAAADzO3eQ=")</f>
        <v>#REF!</v>
      </c>
      <c r="HV12" t="e">
        <f>AND(#REF!,"AAAAADzO3eU=")</f>
        <v>#REF!</v>
      </c>
      <c r="HW12" t="e">
        <f>IF(#REF!,"AAAAADzO3eY=",0)</f>
        <v>#REF!</v>
      </c>
      <c r="HX12" t="e">
        <f>AND(#REF!,"AAAAADzO3ec=")</f>
        <v>#REF!</v>
      </c>
      <c r="HY12" t="e">
        <f>AND(#REF!,"AAAAADzO3eg=")</f>
        <v>#REF!</v>
      </c>
      <c r="HZ12" t="e">
        <f>AND(#REF!,"AAAAADzO3ek=")</f>
        <v>#REF!</v>
      </c>
      <c r="IA12" t="e">
        <f>AND(#REF!,"AAAAADzO3eo=")</f>
        <v>#REF!</v>
      </c>
      <c r="IB12" t="e">
        <f>AND(#REF!,"AAAAADzO3es=")</f>
        <v>#REF!</v>
      </c>
      <c r="IC12" t="e">
        <f>AND(#REF!,"AAAAADzO3ew=")</f>
        <v>#REF!</v>
      </c>
      <c r="ID12" t="e">
        <f>AND(#REF!,"AAAAADzO3e0=")</f>
        <v>#REF!</v>
      </c>
      <c r="IE12" t="e">
        <f>AND(#REF!,"AAAAADzO3e4=")</f>
        <v>#REF!</v>
      </c>
      <c r="IF12" t="e">
        <f>AND(#REF!,"AAAAADzO3e8=")</f>
        <v>#REF!</v>
      </c>
      <c r="IG12" t="e">
        <f>AND(#REF!,"AAAAADzO3fA=")</f>
        <v>#REF!</v>
      </c>
      <c r="IH12" t="e">
        <f>AND(#REF!,"AAAAADzO3fE=")</f>
        <v>#REF!</v>
      </c>
      <c r="II12" t="e">
        <f>AND(#REF!,"AAAAADzO3fI=")</f>
        <v>#REF!</v>
      </c>
      <c r="IJ12" t="e">
        <f>AND(#REF!,"AAAAADzO3fM=")</f>
        <v>#REF!</v>
      </c>
      <c r="IK12" t="e">
        <f>AND(#REF!,"AAAAADzO3fQ=")</f>
        <v>#REF!</v>
      </c>
      <c r="IL12" t="e">
        <f>IF(#REF!,"AAAAADzO3fU=",0)</f>
        <v>#REF!</v>
      </c>
      <c r="IM12" t="e">
        <f>AND(#REF!,"AAAAADzO3fY=")</f>
        <v>#REF!</v>
      </c>
      <c r="IN12" t="e">
        <f>AND(#REF!,"AAAAADzO3fc=")</f>
        <v>#REF!</v>
      </c>
      <c r="IO12" t="e">
        <f>AND(#REF!,"AAAAADzO3fg=")</f>
        <v>#REF!</v>
      </c>
      <c r="IP12" t="e">
        <f>AND(#REF!,"AAAAADzO3fk=")</f>
        <v>#REF!</v>
      </c>
      <c r="IQ12" t="e">
        <f>AND(#REF!,"AAAAADzO3fo=")</f>
        <v>#REF!</v>
      </c>
      <c r="IR12" t="e">
        <f>AND(#REF!,"AAAAADzO3fs=")</f>
        <v>#REF!</v>
      </c>
      <c r="IS12" t="e">
        <f>AND(#REF!,"AAAAADzO3fw=")</f>
        <v>#REF!</v>
      </c>
      <c r="IT12" t="e">
        <f>AND(#REF!,"AAAAADzO3f0=")</f>
        <v>#REF!</v>
      </c>
      <c r="IU12" t="e">
        <f>AND(#REF!,"AAAAADzO3f4=")</f>
        <v>#REF!</v>
      </c>
      <c r="IV12" t="e">
        <f>AND(#REF!,"AAAAADzO3f8=")</f>
        <v>#REF!</v>
      </c>
    </row>
    <row r="13" spans="1:256">
      <c r="A13" t="e">
        <f>AND(#REF!,"AAAAAE3bfgA=")</f>
        <v>#REF!</v>
      </c>
      <c r="B13" t="e">
        <f>AND(#REF!,"AAAAAE3bfgE=")</f>
        <v>#REF!</v>
      </c>
      <c r="C13" t="e">
        <f>AND(#REF!,"AAAAAE3bfgI=")</f>
        <v>#REF!</v>
      </c>
      <c r="D13" t="e">
        <f>AND(#REF!,"AAAAAE3bfgM=")</f>
        <v>#REF!</v>
      </c>
      <c r="E13" t="e">
        <f>IF(#REF!,"AAAAAE3bfgQ=",0)</f>
        <v>#REF!</v>
      </c>
      <c r="F13" t="e">
        <f>AND(#REF!,"AAAAAE3bfgU=")</f>
        <v>#REF!</v>
      </c>
      <c r="G13" t="e">
        <f>AND(#REF!,"AAAAAE3bfgY=")</f>
        <v>#REF!</v>
      </c>
      <c r="H13" t="e">
        <f>AND(#REF!,"AAAAAE3bfgc=")</f>
        <v>#REF!</v>
      </c>
      <c r="I13" t="e">
        <f>AND(#REF!,"AAAAAE3bfgg=")</f>
        <v>#REF!</v>
      </c>
      <c r="J13" t="e">
        <f>AND(#REF!,"AAAAAE3bfgk=")</f>
        <v>#REF!</v>
      </c>
      <c r="K13" t="e">
        <f>AND(#REF!,"AAAAAE3bfgo=")</f>
        <v>#REF!</v>
      </c>
      <c r="L13" t="e">
        <f>AND(#REF!,"AAAAAE3bfgs=")</f>
        <v>#REF!</v>
      </c>
      <c r="M13" t="e">
        <f>AND(#REF!,"AAAAAE3bfgw=")</f>
        <v>#REF!</v>
      </c>
      <c r="N13" t="e">
        <f>AND(#REF!,"AAAAAE3bfg0=")</f>
        <v>#REF!</v>
      </c>
      <c r="O13" t="e">
        <f>AND(#REF!,"AAAAAE3bfg4=")</f>
        <v>#REF!</v>
      </c>
      <c r="P13" t="e">
        <f>AND(#REF!,"AAAAAE3bfg8=")</f>
        <v>#REF!</v>
      </c>
      <c r="Q13" t="e">
        <f>AND(#REF!,"AAAAAE3bfhA=")</f>
        <v>#REF!</v>
      </c>
      <c r="R13" t="e">
        <f>AND(#REF!,"AAAAAE3bfhE=")</f>
        <v>#REF!</v>
      </c>
      <c r="S13" t="e">
        <f>AND(#REF!,"AAAAAE3bfhI=")</f>
        <v>#REF!</v>
      </c>
      <c r="T13" t="e">
        <f>IF(#REF!,"AAAAAE3bfhM=",0)</f>
        <v>#REF!</v>
      </c>
      <c r="U13" t="e">
        <f>AND(#REF!,"AAAAAE3bfhQ=")</f>
        <v>#REF!</v>
      </c>
      <c r="V13" t="e">
        <f>AND(#REF!,"AAAAAE3bfhU=")</f>
        <v>#REF!</v>
      </c>
      <c r="W13" t="e">
        <f>AND(#REF!,"AAAAAE3bfhY=")</f>
        <v>#REF!</v>
      </c>
      <c r="X13" t="e">
        <f>AND(#REF!,"AAAAAE3bfhc=")</f>
        <v>#REF!</v>
      </c>
      <c r="Y13" t="e">
        <f>AND(#REF!,"AAAAAE3bfhg=")</f>
        <v>#REF!</v>
      </c>
      <c r="Z13" t="e">
        <f>AND(#REF!,"AAAAAE3bfhk=")</f>
        <v>#REF!</v>
      </c>
      <c r="AA13" t="e">
        <f>AND(#REF!,"AAAAAE3bfho=")</f>
        <v>#REF!</v>
      </c>
      <c r="AB13" t="e">
        <f>AND(#REF!,"AAAAAE3bfhs=")</f>
        <v>#REF!</v>
      </c>
      <c r="AC13" t="e">
        <f>AND(#REF!,"AAAAAE3bfhw=")</f>
        <v>#REF!</v>
      </c>
      <c r="AD13" t="e">
        <f>AND(#REF!,"AAAAAE3bfh0=")</f>
        <v>#REF!</v>
      </c>
      <c r="AE13" t="e">
        <f>AND(#REF!,"AAAAAE3bfh4=")</f>
        <v>#REF!</v>
      </c>
      <c r="AF13" t="e">
        <f>AND(#REF!,"AAAAAE3bfh8=")</f>
        <v>#REF!</v>
      </c>
      <c r="AG13" t="e">
        <f>AND(#REF!,"AAAAAE3bfiA=")</f>
        <v>#REF!</v>
      </c>
      <c r="AH13" t="e">
        <f>AND(#REF!,"AAAAAE3bfiE=")</f>
        <v>#REF!</v>
      </c>
      <c r="AI13" t="e">
        <f>IF(#REF!,"AAAAAE3bfiI=",0)</f>
        <v>#REF!</v>
      </c>
      <c r="AJ13" t="e">
        <f>AND(#REF!,"AAAAAE3bfiM=")</f>
        <v>#REF!</v>
      </c>
      <c r="AK13" t="e">
        <f>AND(#REF!,"AAAAAE3bfiQ=")</f>
        <v>#REF!</v>
      </c>
      <c r="AL13" t="e">
        <f>AND(#REF!,"AAAAAE3bfiU=")</f>
        <v>#REF!</v>
      </c>
      <c r="AM13" t="e">
        <f>AND(#REF!,"AAAAAE3bfiY=")</f>
        <v>#REF!</v>
      </c>
      <c r="AN13" t="e">
        <f>AND(#REF!,"AAAAAE3bfic=")</f>
        <v>#REF!</v>
      </c>
      <c r="AO13" t="e">
        <f>AND(#REF!,"AAAAAE3bfig=")</f>
        <v>#REF!</v>
      </c>
      <c r="AP13" t="e">
        <f>AND(#REF!,"AAAAAE3bfik=")</f>
        <v>#REF!</v>
      </c>
      <c r="AQ13" t="e">
        <f>AND(#REF!,"AAAAAE3bfio=")</f>
        <v>#REF!</v>
      </c>
      <c r="AR13" t="e">
        <f>AND(#REF!,"AAAAAE3bfis=")</f>
        <v>#REF!</v>
      </c>
      <c r="AS13" t="e">
        <f>AND(#REF!,"AAAAAE3bfiw=")</f>
        <v>#REF!</v>
      </c>
      <c r="AT13" t="e">
        <f>AND(#REF!,"AAAAAE3bfi0=")</f>
        <v>#REF!</v>
      </c>
      <c r="AU13" t="e">
        <f>AND(#REF!,"AAAAAE3bfi4=")</f>
        <v>#REF!</v>
      </c>
      <c r="AV13" t="e">
        <f>AND(#REF!,"AAAAAE3bfi8=")</f>
        <v>#REF!</v>
      </c>
      <c r="AW13" t="e">
        <f>AND(#REF!,"AAAAAE3bfjA=")</f>
        <v>#REF!</v>
      </c>
      <c r="AX13" t="e">
        <f>IF(#REF!,"AAAAAE3bfjE=",0)</f>
        <v>#REF!</v>
      </c>
      <c r="AY13" t="e">
        <f>AND(#REF!,"AAAAAE3bfjI=")</f>
        <v>#REF!</v>
      </c>
      <c r="AZ13" t="e">
        <f>AND(#REF!,"AAAAAE3bfjM=")</f>
        <v>#REF!</v>
      </c>
      <c r="BA13" t="e">
        <f>AND(#REF!,"AAAAAE3bfjQ=")</f>
        <v>#REF!</v>
      </c>
      <c r="BB13" t="e">
        <f>AND(#REF!,"AAAAAE3bfjU=")</f>
        <v>#REF!</v>
      </c>
      <c r="BC13" t="e">
        <f>AND(#REF!,"AAAAAE3bfjY=")</f>
        <v>#REF!</v>
      </c>
      <c r="BD13" t="e">
        <f>AND(#REF!,"AAAAAE3bfjc=")</f>
        <v>#REF!</v>
      </c>
      <c r="BE13" t="e">
        <f>AND(#REF!,"AAAAAE3bfjg=")</f>
        <v>#REF!</v>
      </c>
      <c r="BF13" t="e">
        <f>AND(#REF!,"AAAAAE3bfjk=")</f>
        <v>#REF!</v>
      </c>
      <c r="BG13" t="e">
        <f>AND(#REF!,"AAAAAE3bfjo=")</f>
        <v>#REF!</v>
      </c>
      <c r="BH13" t="e">
        <f>AND(#REF!,"AAAAAE3bfjs=")</f>
        <v>#REF!</v>
      </c>
      <c r="BI13" t="e">
        <f>AND(#REF!,"AAAAAE3bfjw=")</f>
        <v>#REF!</v>
      </c>
      <c r="BJ13" t="e">
        <f>AND(#REF!,"AAAAAE3bfj0=")</f>
        <v>#REF!</v>
      </c>
      <c r="BK13" t="e">
        <f>AND(#REF!,"AAAAAE3bfj4=")</f>
        <v>#REF!</v>
      </c>
      <c r="BL13" t="e">
        <f>AND(#REF!,"AAAAAE3bfj8=")</f>
        <v>#REF!</v>
      </c>
      <c r="BM13" t="e">
        <f>IF(#REF!,"AAAAAE3bfkA=",0)</f>
        <v>#REF!</v>
      </c>
      <c r="BN13" t="e">
        <f>AND(#REF!,"AAAAAE3bfkE=")</f>
        <v>#REF!</v>
      </c>
      <c r="BO13" t="e">
        <f>AND(#REF!,"AAAAAE3bfkI=")</f>
        <v>#REF!</v>
      </c>
      <c r="BP13" t="e">
        <f>AND(#REF!,"AAAAAE3bfkM=")</f>
        <v>#REF!</v>
      </c>
      <c r="BQ13" t="e">
        <f>AND(#REF!,"AAAAAE3bfkQ=")</f>
        <v>#REF!</v>
      </c>
      <c r="BR13" t="e">
        <f>AND(#REF!,"AAAAAE3bfkU=")</f>
        <v>#REF!</v>
      </c>
      <c r="BS13" t="e">
        <f>AND(#REF!,"AAAAAE3bfkY=")</f>
        <v>#REF!</v>
      </c>
      <c r="BT13" t="e">
        <f>AND(#REF!,"AAAAAE3bfkc=")</f>
        <v>#REF!</v>
      </c>
      <c r="BU13" t="e">
        <f>AND(#REF!,"AAAAAE3bfkg=")</f>
        <v>#REF!</v>
      </c>
      <c r="BV13" t="e">
        <f>AND(#REF!,"AAAAAE3bfkk=")</f>
        <v>#REF!</v>
      </c>
      <c r="BW13" t="e">
        <f>AND(#REF!,"AAAAAE3bfko=")</f>
        <v>#REF!</v>
      </c>
      <c r="BX13" t="e">
        <f>AND(#REF!,"AAAAAE3bfks=")</f>
        <v>#REF!</v>
      </c>
      <c r="BY13" t="e">
        <f>AND(#REF!,"AAAAAE3bfkw=")</f>
        <v>#REF!</v>
      </c>
      <c r="BZ13" t="e">
        <f>AND(#REF!,"AAAAAE3bfk0=")</f>
        <v>#REF!</v>
      </c>
      <c r="CA13" t="e">
        <f>AND(#REF!,"AAAAAE3bfk4=")</f>
        <v>#REF!</v>
      </c>
      <c r="CB13" t="e">
        <f>IF(#REF!,"AAAAAE3bfk8=",0)</f>
        <v>#REF!</v>
      </c>
      <c r="CC13" t="e">
        <f>AND(#REF!,"AAAAAE3bflA=")</f>
        <v>#REF!</v>
      </c>
      <c r="CD13" t="e">
        <f>AND(#REF!,"AAAAAE3bflE=")</f>
        <v>#REF!</v>
      </c>
      <c r="CE13" t="e">
        <f>AND(#REF!,"AAAAAE3bflI=")</f>
        <v>#REF!</v>
      </c>
      <c r="CF13" t="e">
        <f>AND(#REF!,"AAAAAE3bflM=")</f>
        <v>#REF!</v>
      </c>
      <c r="CG13" t="e">
        <f>AND(#REF!,"AAAAAE3bflQ=")</f>
        <v>#REF!</v>
      </c>
      <c r="CH13" t="e">
        <f>AND(#REF!,"AAAAAE3bflU=")</f>
        <v>#REF!</v>
      </c>
      <c r="CI13" t="e">
        <f>AND(#REF!,"AAAAAE3bflY=")</f>
        <v>#REF!</v>
      </c>
      <c r="CJ13" t="e">
        <f>AND(#REF!,"AAAAAE3bflc=")</f>
        <v>#REF!</v>
      </c>
      <c r="CK13" t="e">
        <f>AND(#REF!,"AAAAAE3bflg=")</f>
        <v>#REF!</v>
      </c>
      <c r="CL13" t="e">
        <f>AND(#REF!,"AAAAAE3bflk=")</f>
        <v>#REF!</v>
      </c>
      <c r="CM13" t="e">
        <f>AND(#REF!,"AAAAAE3bflo=")</f>
        <v>#REF!</v>
      </c>
      <c r="CN13" t="e">
        <f>AND(#REF!,"AAAAAE3bfls=")</f>
        <v>#REF!</v>
      </c>
      <c r="CO13" t="e">
        <f>AND(#REF!,"AAAAAE3bflw=")</f>
        <v>#REF!</v>
      </c>
      <c r="CP13" t="e">
        <f>AND(#REF!,"AAAAAE3bfl0=")</f>
        <v>#REF!</v>
      </c>
      <c r="CQ13" t="e">
        <f>IF(#REF!,"AAAAAE3bfl4=",0)</f>
        <v>#REF!</v>
      </c>
      <c r="CR13" t="e">
        <f>AND(#REF!,"AAAAAE3bfl8=")</f>
        <v>#REF!</v>
      </c>
      <c r="CS13" t="e">
        <f>AND(#REF!,"AAAAAE3bfmA=")</f>
        <v>#REF!</v>
      </c>
      <c r="CT13" t="e">
        <f>AND(#REF!,"AAAAAE3bfmE=")</f>
        <v>#REF!</v>
      </c>
      <c r="CU13" t="e">
        <f>AND(#REF!,"AAAAAE3bfmI=")</f>
        <v>#REF!</v>
      </c>
      <c r="CV13" t="e">
        <f>AND(#REF!,"AAAAAE3bfmM=")</f>
        <v>#REF!</v>
      </c>
      <c r="CW13" t="e">
        <f>AND(#REF!,"AAAAAE3bfmQ=")</f>
        <v>#REF!</v>
      </c>
      <c r="CX13" t="e">
        <f>AND(#REF!,"AAAAAE3bfmU=")</f>
        <v>#REF!</v>
      </c>
      <c r="CY13" t="e">
        <f>AND(#REF!,"AAAAAE3bfmY=")</f>
        <v>#REF!</v>
      </c>
      <c r="CZ13" t="e">
        <f>AND(#REF!,"AAAAAE3bfmc=")</f>
        <v>#REF!</v>
      </c>
      <c r="DA13" t="e">
        <f>AND(#REF!,"AAAAAE3bfmg=")</f>
        <v>#REF!</v>
      </c>
      <c r="DB13" t="e">
        <f>AND(#REF!,"AAAAAE3bfmk=")</f>
        <v>#REF!</v>
      </c>
      <c r="DC13" t="e">
        <f>AND(#REF!,"AAAAAE3bfmo=")</f>
        <v>#REF!</v>
      </c>
      <c r="DD13" t="e">
        <f>AND(#REF!,"AAAAAE3bfms=")</f>
        <v>#REF!</v>
      </c>
      <c r="DE13" t="e">
        <f>AND(#REF!,"AAAAAE3bfmw=")</f>
        <v>#REF!</v>
      </c>
      <c r="DF13" t="e">
        <f>IF(#REF!,"AAAAAE3bfm0=",0)</f>
        <v>#REF!</v>
      </c>
      <c r="DG13" t="e">
        <f>AND(#REF!,"AAAAAE3bfm4=")</f>
        <v>#REF!</v>
      </c>
      <c r="DH13" t="e">
        <f>AND(#REF!,"AAAAAE3bfm8=")</f>
        <v>#REF!</v>
      </c>
      <c r="DI13" t="e">
        <f>AND(#REF!,"AAAAAE3bfnA=")</f>
        <v>#REF!</v>
      </c>
      <c r="DJ13" t="e">
        <f>AND(#REF!,"AAAAAE3bfnE=")</f>
        <v>#REF!</v>
      </c>
      <c r="DK13" t="e">
        <f>AND(#REF!,"AAAAAE3bfnI=")</f>
        <v>#REF!</v>
      </c>
      <c r="DL13" t="e">
        <f>AND(#REF!,"AAAAAE3bfnM=")</f>
        <v>#REF!</v>
      </c>
      <c r="DM13" t="e">
        <f>AND(#REF!,"AAAAAE3bfnQ=")</f>
        <v>#REF!</v>
      </c>
      <c r="DN13" t="e">
        <f>AND(#REF!,"AAAAAE3bfnU=")</f>
        <v>#REF!</v>
      </c>
      <c r="DO13" t="e">
        <f>AND(#REF!,"AAAAAE3bfnY=")</f>
        <v>#REF!</v>
      </c>
      <c r="DP13" t="e">
        <f>AND(#REF!,"AAAAAE3bfnc=")</f>
        <v>#REF!</v>
      </c>
      <c r="DQ13" t="e">
        <f>AND(#REF!,"AAAAAE3bfng=")</f>
        <v>#REF!</v>
      </c>
      <c r="DR13" t="e">
        <f>AND(#REF!,"AAAAAE3bfnk=")</f>
        <v>#REF!</v>
      </c>
      <c r="DS13" t="e">
        <f>AND(#REF!,"AAAAAE3bfno=")</f>
        <v>#REF!</v>
      </c>
      <c r="DT13" t="e">
        <f>AND(#REF!,"AAAAAE3bfns=")</f>
        <v>#REF!</v>
      </c>
      <c r="DU13" t="e">
        <f>IF(#REF!,"AAAAAE3bfnw=",0)</f>
        <v>#REF!</v>
      </c>
      <c r="DV13" t="e">
        <f>AND(#REF!,"AAAAAE3bfn0=")</f>
        <v>#REF!</v>
      </c>
      <c r="DW13" t="e">
        <f>AND(#REF!,"AAAAAE3bfn4=")</f>
        <v>#REF!</v>
      </c>
      <c r="DX13" t="e">
        <f>AND(#REF!,"AAAAAE3bfn8=")</f>
        <v>#REF!</v>
      </c>
      <c r="DY13" t="e">
        <f>AND(#REF!,"AAAAAE3bfoA=")</f>
        <v>#REF!</v>
      </c>
      <c r="DZ13" t="e">
        <f>AND(#REF!,"AAAAAE3bfoE=")</f>
        <v>#REF!</v>
      </c>
      <c r="EA13" t="e">
        <f>AND(#REF!,"AAAAAE3bfoI=")</f>
        <v>#REF!</v>
      </c>
      <c r="EB13" t="e">
        <f>AND(#REF!,"AAAAAE3bfoM=")</f>
        <v>#REF!</v>
      </c>
      <c r="EC13" t="e">
        <f>AND(#REF!,"AAAAAE3bfoQ=")</f>
        <v>#REF!</v>
      </c>
      <c r="ED13" t="e">
        <f>AND(#REF!,"AAAAAE3bfoU=")</f>
        <v>#REF!</v>
      </c>
      <c r="EE13" t="e">
        <f>AND(#REF!,"AAAAAE3bfoY=")</f>
        <v>#REF!</v>
      </c>
      <c r="EF13" t="e">
        <f>AND(#REF!,"AAAAAE3bfoc=")</f>
        <v>#REF!</v>
      </c>
      <c r="EG13" t="e">
        <f>AND(#REF!,"AAAAAE3bfog=")</f>
        <v>#REF!</v>
      </c>
      <c r="EH13" t="e">
        <f>AND(#REF!,"AAAAAE3bfok=")</f>
        <v>#REF!</v>
      </c>
      <c r="EI13" t="e">
        <f>AND(#REF!,"AAAAAE3bfoo=")</f>
        <v>#REF!</v>
      </c>
      <c r="EJ13" t="e">
        <f>IF(#REF!,"AAAAAE3bfos=",0)</f>
        <v>#REF!</v>
      </c>
      <c r="EK13" t="e">
        <f>AND(#REF!,"AAAAAE3bfow=")</f>
        <v>#REF!</v>
      </c>
      <c r="EL13" t="e">
        <f>AND(#REF!,"AAAAAE3bfo0=")</f>
        <v>#REF!</v>
      </c>
      <c r="EM13" t="e">
        <f>AND(#REF!,"AAAAAE3bfo4=")</f>
        <v>#REF!</v>
      </c>
      <c r="EN13" t="e">
        <f>AND(#REF!,"AAAAAE3bfo8=")</f>
        <v>#REF!</v>
      </c>
      <c r="EO13" t="e">
        <f>AND(#REF!,"AAAAAE3bfpA=")</f>
        <v>#REF!</v>
      </c>
      <c r="EP13" t="e">
        <f>AND(#REF!,"AAAAAE3bfpE=")</f>
        <v>#REF!</v>
      </c>
      <c r="EQ13" t="e">
        <f>AND(#REF!,"AAAAAE3bfpI=")</f>
        <v>#REF!</v>
      </c>
      <c r="ER13" t="e">
        <f>AND(#REF!,"AAAAAE3bfpM=")</f>
        <v>#REF!</v>
      </c>
      <c r="ES13" t="e">
        <f>AND(#REF!,"AAAAAE3bfpQ=")</f>
        <v>#REF!</v>
      </c>
      <c r="ET13" t="e">
        <f>AND(#REF!,"AAAAAE3bfpU=")</f>
        <v>#REF!</v>
      </c>
      <c r="EU13" t="e">
        <f>AND(#REF!,"AAAAAE3bfpY=")</f>
        <v>#REF!</v>
      </c>
      <c r="EV13" t="e">
        <f>AND(#REF!,"AAAAAE3bfpc=")</f>
        <v>#REF!</v>
      </c>
      <c r="EW13" t="e">
        <f>AND(#REF!,"AAAAAE3bfpg=")</f>
        <v>#REF!</v>
      </c>
      <c r="EX13" t="e">
        <f>AND(#REF!,"AAAAAE3bfpk=")</f>
        <v>#REF!</v>
      </c>
      <c r="EY13" t="e">
        <f>IF(#REF!,"AAAAAE3bfpo=",0)</f>
        <v>#REF!</v>
      </c>
      <c r="EZ13" t="e">
        <f>AND(#REF!,"AAAAAE3bfps=")</f>
        <v>#REF!</v>
      </c>
      <c r="FA13" t="e">
        <f>AND(#REF!,"AAAAAE3bfpw=")</f>
        <v>#REF!</v>
      </c>
      <c r="FB13" t="e">
        <f>AND(#REF!,"AAAAAE3bfp0=")</f>
        <v>#REF!</v>
      </c>
      <c r="FC13" t="e">
        <f>AND(#REF!,"AAAAAE3bfp4=")</f>
        <v>#REF!</v>
      </c>
      <c r="FD13" t="e">
        <f>AND(#REF!,"AAAAAE3bfp8=")</f>
        <v>#REF!</v>
      </c>
      <c r="FE13" t="e">
        <f>AND(#REF!,"AAAAAE3bfqA=")</f>
        <v>#REF!</v>
      </c>
      <c r="FF13" t="e">
        <f>AND(#REF!,"AAAAAE3bfqE=")</f>
        <v>#REF!</v>
      </c>
      <c r="FG13" t="e">
        <f>AND(#REF!,"AAAAAE3bfqI=")</f>
        <v>#REF!</v>
      </c>
      <c r="FH13" t="e">
        <f>AND(#REF!,"AAAAAE3bfqM=")</f>
        <v>#REF!</v>
      </c>
      <c r="FI13" t="e">
        <f>AND(#REF!,"AAAAAE3bfqQ=")</f>
        <v>#REF!</v>
      </c>
      <c r="FJ13" t="e">
        <f>AND(#REF!,"AAAAAE3bfqU=")</f>
        <v>#REF!</v>
      </c>
      <c r="FK13" t="e">
        <f>AND(#REF!,"AAAAAE3bfqY=")</f>
        <v>#REF!</v>
      </c>
      <c r="FL13" t="e">
        <f>AND(#REF!,"AAAAAE3bfqc=")</f>
        <v>#REF!</v>
      </c>
      <c r="FM13" t="e">
        <f>AND(#REF!,"AAAAAE3bfqg=")</f>
        <v>#REF!</v>
      </c>
      <c r="FN13" t="e">
        <f>IF(#REF!,"AAAAAE3bfqk=",0)</f>
        <v>#REF!</v>
      </c>
      <c r="FO13" t="e">
        <f>AND(#REF!,"AAAAAE3bfqo=")</f>
        <v>#REF!</v>
      </c>
      <c r="FP13" t="e">
        <f>AND(#REF!,"AAAAAE3bfqs=")</f>
        <v>#REF!</v>
      </c>
      <c r="FQ13" t="e">
        <f>AND(#REF!,"AAAAAE3bfqw=")</f>
        <v>#REF!</v>
      </c>
      <c r="FR13" t="e">
        <f>AND(#REF!,"AAAAAE3bfq0=")</f>
        <v>#REF!</v>
      </c>
      <c r="FS13" t="e">
        <f>AND(#REF!,"AAAAAE3bfq4=")</f>
        <v>#REF!</v>
      </c>
      <c r="FT13" t="e">
        <f>AND(#REF!,"AAAAAE3bfq8=")</f>
        <v>#REF!</v>
      </c>
      <c r="FU13" t="e">
        <f>AND(#REF!,"AAAAAE3bfrA=")</f>
        <v>#REF!</v>
      </c>
      <c r="FV13" t="e">
        <f>AND(#REF!,"AAAAAE3bfrE=")</f>
        <v>#REF!</v>
      </c>
      <c r="FW13" t="e">
        <f>AND(#REF!,"AAAAAE3bfrI=")</f>
        <v>#REF!</v>
      </c>
      <c r="FX13" t="e">
        <f>AND(#REF!,"AAAAAE3bfrM=")</f>
        <v>#REF!</v>
      </c>
      <c r="FY13" t="e">
        <f>AND(#REF!,"AAAAAE3bfrQ=")</f>
        <v>#REF!</v>
      </c>
      <c r="FZ13" t="e">
        <f>AND(#REF!,"AAAAAE3bfrU=")</f>
        <v>#REF!</v>
      </c>
      <c r="GA13" t="e">
        <f>AND(#REF!,"AAAAAE3bfrY=")</f>
        <v>#REF!</v>
      </c>
      <c r="GB13" t="e">
        <f>AND(#REF!,"AAAAAE3bfrc=")</f>
        <v>#REF!</v>
      </c>
      <c r="GC13" t="e">
        <f>IF(#REF!,"AAAAAE3bfrg=",0)</f>
        <v>#REF!</v>
      </c>
      <c r="GD13" t="e">
        <f>AND(#REF!,"AAAAAE3bfrk=")</f>
        <v>#REF!</v>
      </c>
      <c r="GE13" t="e">
        <f>AND(#REF!,"AAAAAE3bfro=")</f>
        <v>#REF!</v>
      </c>
      <c r="GF13" t="e">
        <f>AND(#REF!,"AAAAAE3bfrs=")</f>
        <v>#REF!</v>
      </c>
      <c r="GG13" t="e">
        <f>AND(#REF!,"AAAAAE3bfrw=")</f>
        <v>#REF!</v>
      </c>
      <c r="GH13" t="e">
        <f>AND(#REF!,"AAAAAE3bfr0=")</f>
        <v>#REF!</v>
      </c>
      <c r="GI13" t="e">
        <f>AND(#REF!,"AAAAAE3bfr4=")</f>
        <v>#REF!</v>
      </c>
      <c r="GJ13" t="e">
        <f>AND(#REF!,"AAAAAE3bfr8=")</f>
        <v>#REF!</v>
      </c>
      <c r="GK13" t="e">
        <f>AND(#REF!,"AAAAAE3bfsA=")</f>
        <v>#REF!</v>
      </c>
      <c r="GL13" t="e">
        <f>AND(#REF!,"AAAAAE3bfsE=")</f>
        <v>#REF!</v>
      </c>
      <c r="GM13" t="e">
        <f>AND(#REF!,"AAAAAE3bfsI=")</f>
        <v>#REF!</v>
      </c>
      <c r="GN13" t="e">
        <f>AND(#REF!,"AAAAAE3bfsM=")</f>
        <v>#REF!</v>
      </c>
      <c r="GO13" t="e">
        <f>AND(#REF!,"AAAAAE3bfsQ=")</f>
        <v>#REF!</v>
      </c>
      <c r="GP13" t="e">
        <f>AND(#REF!,"AAAAAE3bfsU=")</f>
        <v>#REF!</v>
      </c>
      <c r="GQ13" t="e">
        <f>AND(#REF!,"AAAAAE3bfsY=")</f>
        <v>#REF!</v>
      </c>
      <c r="GR13" t="e">
        <f>IF(#REF!,"AAAAAE3bfsc=",0)</f>
        <v>#REF!</v>
      </c>
      <c r="GS13" t="e">
        <f>AND(#REF!,"AAAAAE3bfsg=")</f>
        <v>#REF!</v>
      </c>
      <c r="GT13" t="e">
        <f>AND(#REF!,"AAAAAE3bfsk=")</f>
        <v>#REF!</v>
      </c>
      <c r="GU13" t="e">
        <f>AND(#REF!,"AAAAAE3bfso=")</f>
        <v>#REF!</v>
      </c>
      <c r="GV13" t="e">
        <f>AND(#REF!,"AAAAAE3bfss=")</f>
        <v>#REF!</v>
      </c>
      <c r="GW13" t="e">
        <f>AND(#REF!,"AAAAAE3bfsw=")</f>
        <v>#REF!</v>
      </c>
      <c r="GX13" t="e">
        <f>AND(#REF!,"AAAAAE3bfs0=")</f>
        <v>#REF!</v>
      </c>
      <c r="GY13" t="e">
        <f>AND(#REF!,"AAAAAE3bfs4=")</f>
        <v>#REF!</v>
      </c>
      <c r="GZ13" t="e">
        <f>AND(#REF!,"AAAAAE3bfs8=")</f>
        <v>#REF!</v>
      </c>
      <c r="HA13" t="e">
        <f>AND(#REF!,"AAAAAE3bftA=")</f>
        <v>#REF!</v>
      </c>
      <c r="HB13" t="e">
        <f>AND(#REF!,"AAAAAE3bftE=")</f>
        <v>#REF!</v>
      </c>
      <c r="HC13" t="e">
        <f>AND(#REF!,"AAAAAE3bftI=")</f>
        <v>#REF!</v>
      </c>
      <c r="HD13" t="e">
        <f>AND(#REF!,"AAAAAE3bftM=")</f>
        <v>#REF!</v>
      </c>
      <c r="HE13" t="e">
        <f>AND(#REF!,"AAAAAE3bftQ=")</f>
        <v>#REF!</v>
      </c>
      <c r="HF13" t="e">
        <f>AND(#REF!,"AAAAAE3bftU=")</f>
        <v>#REF!</v>
      </c>
      <c r="HG13" t="e">
        <f>IF(#REF!,"AAAAAE3bftY=",0)</f>
        <v>#REF!</v>
      </c>
      <c r="HH13" t="e">
        <f>AND(#REF!,"AAAAAE3bftc=")</f>
        <v>#REF!</v>
      </c>
      <c r="HI13" t="e">
        <f>AND(#REF!,"AAAAAE3bftg=")</f>
        <v>#REF!</v>
      </c>
      <c r="HJ13" t="e">
        <f>AND(#REF!,"AAAAAE3bftk=")</f>
        <v>#REF!</v>
      </c>
      <c r="HK13" t="e">
        <f>AND(#REF!,"AAAAAE3bfto=")</f>
        <v>#REF!</v>
      </c>
      <c r="HL13" t="e">
        <f>AND(#REF!,"AAAAAE3bfts=")</f>
        <v>#REF!</v>
      </c>
      <c r="HM13" t="e">
        <f>AND(#REF!,"AAAAAE3bftw=")</f>
        <v>#REF!</v>
      </c>
      <c r="HN13" t="e">
        <f>AND(#REF!,"AAAAAE3bft0=")</f>
        <v>#REF!</v>
      </c>
      <c r="HO13" t="e">
        <f>AND(#REF!,"AAAAAE3bft4=")</f>
        <v>#REF!</v>
      </c>
      <c r="HP13" t="e">
        <f>AND(#REF!,"AAAAAE3bft8=")</f>
        <v>#REF!</v>
      </c>
      <c r="HQ13" t="e">
        <f>AND(#REF!,"AAAAAE3bfuA=")</f>
        <v>#REF!</v>
      </c>
      <c r="HR13" t="e">
        <f>AND(#REF!,"AAAAAE3bfuE=")</f>
        <v>#REF!</v>
      </c>
      <c r="HS13" t="e">
        <f>AND(#REF!,"AAAAAE3bfuI=")</f>
        <v>#REF!</v>
      </c>
      <c r="HT13" t="e">
        <f>AND(#REF!,"AAAAAE3bfuM=")</f>
        <v>#REF!</v>
      </c>
      <c r="HU13" t="e">
        <f>AND(#REF!,"AAAAAE3bfuQ=")</f>
        <v>#REF!</v>
      </c>
      <c r="HV13" t="e">
        <f>IF(#REF!,"AAAAAE3bfuU=",0)</f>
        <v>#REF!</v>
      </c>
      <c r="HW13" t="e">
        <f>AND(#REF!,"AAAAAE3bfuY=")</f>
        <v>#REF!</v>
      </c>
      <c r="HX13" t="e">
        <f>AND(#REF!,"AAAAAE3bfuc=")</f>
        <v>#REF!</v>
      </c>
      <c r="HY13" t="e">
        <f>AND(#REF!,"AAAAAE3bfug=")</f>
        <v>#REF!</v>
      </c>
      <c r="HZ13" t="e">
        <f>AND(#REF!,"AAAAAE3bfuk=")</f>
        <v>#REF!</v>
      </c>
      <c r="IA13" t="e">
        <f>AND(#REF!,"AAAAAE3bfuo=")</f>
        <v>#REF!</v>
      </c>
      <c r="IB13" t="e">
        <f>AND(#REF!,"AAAAAE3bfus=")</f>
        <v>#REF!</v>
      </c>
      <c r="IC13" t="e">
        <f>AND(#REF!,"AAAAAE3bfuw=")</f>
        <v>#REF!</v>
      </c>
      <c r="ID13" t="e">
        <f>AND(#REF!,"AAAAAE3bfu0=")</f>
        <v>#REF!</v>
      </c>
      <c r="IE13" t="e">
        <f>AND(#REF!,"AAAAAE3bfu4=")</f>
        <v>#REF!</v>
      </c>
      <c r="IF13" t="e">
        <f>AND(#REF!,"AAAAAE3bfu8=")</f>
        <v>#REF!</v>
      </c>
      <c r="IG13" t="e">
        <f>AND(#REF!,"AAAAAE3bfvA=")</f>
        <v>#REF!</v>
      </c>
      <c r="IH13" t="e">
        <f>AND(#REF!,"AAAAAE3bfvE=")</f>
        <v>#REF!</v>
      </c>
      <c r="II13" t="e">
        <f>AND(#REF!,"AAAAAE3bfvI=")</f>
        <v>#REF!</v>
      </c>
      <c r="IJ13" t="e">
        <f>AND(#REF!,"AAAAAE3bfvM=")</f>
        <v>#REF!</v>
      </c>
      <c r="IK13" t="e">
        <f>IF(#REF!,"AAAAAE3bfvQ=",0)</f>
        <v>#REF!</v>
      </c>
      <c r="IL13" t="e">
        <f>AND(#REF!,"AAAAAE3bfvU=")</f>
        <v>#REF!</v>
      </c>
      <c r="IM13" t="e">
        <f>AND(#REF!,"AAAAAE3bfvY=")</f>
        <v>#REF!</v>
      </c>
      <c r="IN13" t="e">
        <f>AND(#REF!,"AAAAAE3bfvc=")</f>
        <v>#REF!</v>
      </c>
      <c r="IO13" t="e">
        <f>AND(#REF!,"AAAAAE3bfvg=")</f>
        <v>#REF!</v>
      </c>
      <c r="IP13" t="e">
        <f>AND(#REF!,"AAAAAE3bfvk=")</f>
        <v>#REF!</v>
      </c>
      <c r="IQ13" t="e">
        <f>AND(#REF!,"AAAAAE3bfvo=")</f>
        <v>#REF!</v>
      </c>
      <c r="IR13" t="e">
        <f>AND(#REF!,"AAAAAE3bfvs=")</f>
        <v>#REF!</v>
      </c>
      <c r="IS13" t="e">
        <f>AND(#REF!,"AAAAAE3bfvw=")</f>
        <v>#REF!</v>
      </c>
      <c r="IT13" t="e">
        <f>AND(#REF!,"AAAAAE3bfv0=")</f>
        <v>#REF!</v>
      </c>
      <c r="IU13" t="e">
        <f>AND(#REF!,"AAAAAE3bfv4=")</f>
        <v>#REF!</v>
      </c>
      <c r="IV13" t="e">
        <f>AND(#REF!,"AAAAAE3bfv8=")</f>
        <v>#REF!</v>
      </c>
    </row>
    <row r="14" spans="1:256">
      <c r="A14" t="e">
        <f>AND(#REF!,"AAAAAH7/pQA=")</f>
        <v>#REF!</v>
      </c>
      <c r="B14" t="e">
        <f>AND(#REF!,"AAAAAH7/pQE=")</f>
        <v>#REF!</v>
      </c>
      <c r="C14" t="e">
        <f>AND(#REF!,"AAAAAH7/pQI=")</f>
        <v>#REF!</v>
      </c>
      <c r="D14" t="e">
        <f>IF(#REF!,"AAAAAH7/pQM=",0)</f>
        <v>#REF!</v>
      </c>
      <c r="E14" t="e">
        <f>AND(#REF!,"AAAAAH7/pQQ=")</f>
        <v>#REF!</v>
      </c>
      <c r="F14" t="e">
        <f>AND(#REF!,"AAAAAH7/pQU=")</f>
        <v>#REF!</v>
      </c>
      <c r="G14" t="e">
        <f>AND(#REF!,"AAAAAH7/pQY=")</f>
        <v>#REF!</v>
      </c>
      <c r="H14" t="e">
        <f>AND(#REF!,"AAAAAH7/pQc=")</f>
        <v>#REF!</v>
      </c>
      <c r="I14" t="e">
        <f>AND(#REF!,"AAAAAH7/pQg=")</f>
        <v>#REF!</v>
      </c>
      <c r="J14" t="e">
        <f>AND(#REF!,"AAAAAH7/pQk=")</f>
        <v>#REF!</v>
      </c>
      <c r="K14" t="e">
        <f>AND(#REF!,"AAAAAH7/pQo=")</f>
        <v>#REF!</v>
      </c>
      <c r="L14" t="e">
        <f>AND(#REF!,"AAAAAH7/pQs=")</f>
        <v>#REF!</v>
      </c>
      <c r="M14" t="e">
        <f>AND(#REF!,"AAAAAH7/pQw=")</f>
        <v>#REF!</v>
      </c>
      <c r="N14" t="e">
        <f>AND(#REF!,"AAAAAH7/pQ0=")</f>
        <v>#REF!</v>
      </c>
      <c r="O14" t="e">
        <f>AND(#REF!,"AAAAAH7/pQ4=")</f>
        <v>#REF!</v>
      </c>
      <c r="P14" t="e">
        <f>AND(#REF!,"AAAAAH7/pQ8=")</f>
        <v>#REF!</v>
      </c>
      <c r="Q14" t="e">
        <f>AND(#REF!,"AAAAAH7/pRA=")</f>
        <v>#REF!</v>
      </c>
      <c r="R14" t="e">
        <f>AND(#REF!,"AAAAAH7/pRE=")</f>
        <v>#REF!</v>
      </c>
      <c r="S14" t="e">
        <f>IF(#REF!,"AAAAAH7/pRI=",0)</f>
        <v>#REF!</v>
      </c>
      <c r="T14" t="e">
        <f>AND(#REF!,"AAAAAH7/pRM=")</f>
        <v>#REF!</v>
      </c>
      <c r="U14" t="e">
        <f>AND(#REF!,"AAAAAH7/pRQ=")</f>
        <v>#REF!</v>
      </c>
      <c r="V14" t="e">
        <f>AND(#REF!,"AAAAAH7/pRU=")</f>
        <v>#REF!</v>
      </c>
      <c r="W14" t="e">
        <f>AND(#REF!,"AAAAAH7/pRY=")</f>
        <v>#REF!</v>
      </c>
      <c r="X14" t="e">
        <f>AND(#REF!,"AAAAAH7/pRc=")</f>
        <v>#REF!</v>
      </c>
      <c r="Y14" t="e">
        <f>AND(#REF!,"AAAAAH7/pRg=")</f>
        <v>#REF!</v>
      </c>
      <c r="Z14" t="e">
        <f>AND(#REF!,"AAAAAH7/pRk=")</f>
        <v>#REF!</v>
      </c>
      <c r="AA14" t="e">
        <f>AND(#REF!,"AAAAAH7/pRo=")</f>
        <v>#REF!</v>
      </c>
      <c r="AB14" t="e">
        <f>AND(#REF!,"AAAAAH7/pRs=")</f>
        <v>#REF!</v>
      </c>
      <c r="AC14" t="e">
        <f>AND(#REF!,"AAAAAH7/pRw=")</f>
        <v>#REF!</v>
      </c>
      <c r="AD14" t="e">
        <f>AND(#REF!,"AAAAAH7/pR0=")</f>
        <v>#REF!</v>
      </c>
      <c r="AE14" t="e">
        <f>AND(#REF!,"AAAAAH7/pR4=")</f>
        <v>#REF!</v>
      </c>
      <c r="AF14" t="e">
        <f>AND(#REF!,"AAAAAH7/pR8=")</f>
        <v>#REF!</v>
      </c>
      <c r="AG14" t="e">
        <f>AND(#REF!,"AAAAAH7/pSA=")</f>
        <v>#REF!</v>
      </c>
      <c r="AH14" t="e">
        <f>IF(#REF!,"AAAAAH7/pSE=",0)</f>
        <v>#REF!</v>
      </c>
      <c r="AI14" t="e">
        <f>AND(#REF!,"AAAAAH7/pSI=")</f>
        <v>#REF!</v>
      </c>
      <c r="AJ14" t="e">
        <f>AND(#REF!,"AAAAAH7/pSM=")</f>
        <v>#REF!</v>
      </c>
      <c r="AK14" t="e">
        <f>AND(#REF!,"AAAAAH7/pSQ=")</f>
        <v>#REF!</v>
      </c>
      <c r="AL14" t="e">
        <f>AND(#REF!,"AAAAAH7/pSU=")</f>
        <v>#REF!</v>
      </c>
      <c r="AM14" t="e">
        <f>AND(#REF!,"AAAAAH7/pSY=")</f>
        <v>#REF!</v>
      </c>
      <c r="AN14" t="e">
        <f>AND(#REF!,"AAAAAH7/pSc=")</f>
        <v>#REF!</v>
      </c>
      <c r="AO14" t="e">
        <f>AND(#REF!,"AAAAAH7/pSg=")</f>
        <v>#REF!</v>
      </c>
      <c r="AP14" t="e">
        <f>AND(#REF!,"AAAAAH7/pSk=")</f>
        <v>#REF!</v>
      </c>
      <c r="AQ14" t="e">
        <f>AND(#REF!,"AAAAAH7/pSo=")</f>
        <v>#REF!</v>
      </c>
      <c r="AR14" t="e">
        <f>AND(#REF!,"AAAAAH7/pSs=")</f>
        <v>#REF!</v>
      </c>
      <c r="AS14" t="e">
        <f>AND(#REF!,"AAAAAH7/pSw=")</f>
        <v>#REF!</v>
      </c>
      <c r="AT14" t="e">
        <f>AND(#REF!,"AAAAAH7/pS0=")</f>
        <v>#REF!</v>
      </c>
      <c r="AU14" t="e">
        <f>AND(#REF!,"AAAAAH7/pS4=")</f>
        <v>#REF!</v>
      </c>
      <c r="AV14" t="e">
        <f>AND(#REF!,"AAAAAH7/pS8=")</f>
        <v>#REF!</v>
      </c>
      <c r="AW14" t="e">
        <f>IF(#REF!,"AAAAAH7/pTA=",0)</f>
        <v>#REF!</v>
      </c>
      <c r="AX14" t="e">
        <f>AND(#REF!,"AAAAAH7/pTE=")</f>
        <v>#REF!</v>
      </c>
      <c r="AY14" t="e">
        <f>AND(#REF!,"AAAAAH7/pTI=")</f>
        <v>#REF!</v>
      </c>
      <c r="AZ14" t="e">
        <f>AND(#REF!,"AAAAAH7/pTM=")</f>
        <v>#REF!</v>
      </c>
      <c r="BA14" t="e">
        <f>AND(#REF!,"AAAAAH7/pTQ=")</f>
        <v>#REF!</v>
      </c>
      <c r="BB14" t="e">
        <f>AND(#REF!,"AAAAAH7/pTU=")</f>
        <v>#REF!</v>
      </c>
      <c r="BC14" t="e">
        <f>AND(#REF!,"AAAAAH7/pTY=")</f>
        <v>#REF!</v>
      </c>
      <c r="BD14" t="e">
        <f>AND(#REF!,"AAAAAH7/pTc=")</f>
        <v>#REF!</v>
      </c>
      <c r="BE14" t="e">
        <f>AND(#REF!,"AAAAAH7/pTg=")</f>
        <v>#REF!</v>
      </c>
      <c r="BF14" t="e">
        <f>AND(#REF!,"AAAAAH7/pTk=")</f>
        <v>#REF!</v>
      </c>
      <c r="BG14" t="e">
        <f>AND(#REF!,"AAAAAH7/pTo=")</f>
        <v>#REF!</v>
      </c>
      <c r="BH14" t="e">
        <f>AND(#REF!,"AAAAAH7/pTs=")</f>
        <v>#REF!</v>
      </c>
      <c r="BI14" t="e">
        <f>AND(#REF!,"AAAAAH7/pTw=")</f>
        <v>#REF!</v>
      </c>
      <c r="BJ14" t="e">
        <f>AND(#REF!,"AAAAAH7/pT0=")</f>
        <v>#REF!</v>
      </c>
      <c r="BK14" t="e">
        <f>AND(#REF!,"AAAAAH7/pT4=")</f>
        <v>#REF!</v>
      </c>
      <c r="BL14" t="e">
        <f>IF(#REF!,"AAAAAH7/pT8=",0)</f>
        <v>#REF!</v>
      </c>
      <c r="BM14" t="e">
        <f>AND(#REF!,"AAAAAH7/pUA=")</f>
        <v>#REF!</v>
      </c>
      <c r="BN14" t="e">
        <f>AND(#REF!,"AAAAAH7/pUE=")</f>
        <v>#REF!</v>
      </c>
      <c r="BO14" t="e">
        <f>AND(#REF!,"AAAAAH7/pUI=")</f>
        <v>#REF!</v>
      </c>
      <c r="BP14" t="e">
        <f>AND(#REF!,"AAAAAH7/pUM=")</f>
        <v>#REF!</v>
      </c>
      <c r="BQ14" t="e">
        <f>AND(#REF!,"AAAAAH7/pUQ=")</f>
        <v>#REF!</v>
      </c>
      <c r="BR14" t="e">
        <f>AND(#REF!,"AAAAAH7/pUU=")</f>
        <v>#REF!</v>
      </c>
      <c r="BS14" t="e">
        <f>AND(#REF!,"AAAAAH7/pUY=")</f>
        <v>#REF!</v>
      </c>
      <c r="BT14" t="e">
        <f>AND(#REF!,"AAAAAH7/pUc=")</f>
        <v>#REF!</v>
      </c>
      <c r="BU14" t="e">
        <f>AND(#REF!,"AAAAAH7/pUg=")</f>
        <v>#REF!</v>
      </c>
      <c r="BV14" t="e">
        <f>AND(#REF!,"AAAAAH7/pUk=")</f>
        <v>#REF!</v>
      </c>
      <c r="BW14" t="e">
        <f>AND(#REF!,"AAAAAH7/pUo=")</f>
        <v>#REF!</v>
      </c>
      <c r="BX14" t="e">
        <f>AND(#REF!,"AAAAAH7/pUs=")</f>
        <v>#REF!</v>
      </c>
      <c r="BY14" t="e">
        <f>AND(#REF!,"AAAAAH7/pUw=")</f>
        <v>#REF!</v>
      </c>
      <c r="BZ14" t="e">
        <f>AND(#REF!,"AAAAAH7/pU0=")</f>
        <v>#REF!</v>
      </c>
      <c r="CA14" t="e">
        <f>IF(#REF!,"AAAAAH7/pU4=",0)</f>
        <v>#REF!</v>
      </c>
      <c r="CB14" t="e">
        <f>AND(#REF!,"AAAAAH7/pU8=")</f>
        <v>#REF!</v>
      </c>
      <c r="CC14" t="e">
        <f>AND(#REF!,"AAAAAH7/pVA=")</f>
        <v>#REF!</v>
      </c>
      <c r="CD14" t="e">
        <f>AND(#REF!,"AAAAAH7/pVE=")</f>
        <v>#REF!</v>
      </c>
      <c r="CE14" t="e">
        <f>AND(#REF!,"AAAAAH7/pVI=")</f>
        <v>#REF!</v>
      </c>
      <c r="CF14" t="e">
        <f>AND(#REF!,"AAAAAH7/pVM=")</f>
        <v>#REF!</v>
      </c>
      <c r="CG14" t="e">
        <f>AND(#REF!,"AAAAAH7/pVQ=")</f>
        <v>#REF!</v>
      </c>
      <c r="CH14" t="e">
        <f>AND(#REF!,"AAAAAH7/pVU=")</f>
        <v>#REF!</v>
      </c>
      <c r="CI14" t="e">
        <f>AND(#REF!,"AAAAAH7/pVY=")</f>
        <v>#REF!</v>
      </c>
      <c r="CJ14" t="e">
        <f>AND(#REF!,"AAAAAH7/pVc=")</f>
        <v>#REF!</v>
      </c>
      <c r="CK14" t="e">
        <f>AND(#REF!,"AAAAAH7/pVg=")</f>
        <v>#REF!</v>
      </c>
      <c r="CL14" t="e">
        <f>AND(#REF!,"AAAAAH7/pVk=")</f>
        <v>#REF!</v>
      </c>
      <c r="CM14" t="e">
        <f>AND(#REF!,"AAAAAH7/pVo=")</f>
        <v>#REF!</v>
      </c>
      <c r="CN14" t="e">
        <f>AND(#REF!,"AAAAAH7/pVs=")</f>
        <v>#REF!</v>
      </c>
      <c r="CO14" t="e">
        <f>AND(#REF!,"AAAAAH7/pVw=")</f>
        <v>#REF!</v>
      </c>
      <c r="CP14" t="e">
        <f>IF(#REF!,"AAAAAH7/pV0=",0)</f>
        <v>#REF!</v>
      </c>
      <c r="CQ14" t="e">
        <f>AND(#REF!,"AAAAAH7/pV4=")</f>
        <v>#REF!</v>
      </c>
      <c r="CR14" t="e">
        <f>AND(#REF!,"AAAAAH7/pV8=")</f>
        <v>#REF!</v>
      </c>
      <c r="CS14" t="e">
        <f>AND(#REF!,"AAAAAH7/pWA=")</f>
        <v>#REF!</v>
      </c>
      <c r="CT14" t="e">
        <f>AND(#REF!,"AAAAAH7/pWE=")</f>
        <v>#REF!</v>
      </c>
      <c r="CU14" t="e">
        <f>AND(#REF!,"AAAAAH7/pWI=")</f>
        <v>#REF!</v>
      </c>
      <c r="CV14" t="e">
        <f>AND(#REF!,"AAAAAH7/pWM=")</f>
        <v>#REF!</v>
      </c>
      <c r="CW14" t="e">
        <f>AND(#REF!,"AAAAAH7/pWQ=")</f>
        <v>#REF!</v>
      </c>
      <c r="CX14" t="e">
        <f>AND(#REF!,"AAAAAH7/pWU=")</f>
        <v>#REF!</v>
      </c>
      <c r="CY14" t="e">
        <f>AND(#REF!,"AAAAAH7/pWY=")</f>
        <v>#REF!</v>
      </c>
      <c r="CZ14" t="e">
        <f>AND(#REF!,"AAAAAH7/pWc=")</f>
        <v>#REF!</v>
      </c>
      <c r="DA14" t="e">
        <f>AND(#REF!,"AAAAAH7/pWg=")</f>
        <v>#REF!</v>
      </c>
      <c r="DB14" t="e">
        <f>AND(#REF!,"AAAAAH7/pWk=")</f>
        <v>#REF!</v>
      </c>
      <c r="DC14" t="e">
        <f>AND(#REF!,"AAAAAH7/pWo=")</f>
        <v>#REF!</v>
      </c>
      <c r="DD14" t="e">
        <f>AND(#REF!,"AAAAAH7/pWs=")</f>
        <v>#REF!</v>
      </c>
      <c r="DE14" t="e">
        <f>IF(#REF!,"AAAAAH7/pWw=",0)</f>
        <v>#REF!</v>
      </c>
      <c r="DF14" t="e">
        <f>AND(#REF!,"AAAAAH7/pW0=")</f>
        <v>#REF!</v>
      </c>
      <c r="DG14" t="e">
        <f>AND(#REF!,"AAAAAH7/pW4=")</f>
        <v>#REF!</v>
      </c>
      <c r="DH14" t="e">
        <f>AND(#REF!,"AAAAAH7/pW8=")</f>
        <v>#REF!</v>
      </c>
      <c r="DI14" t="e">
        <f>AND(#REF!,"AAAAAH7/pXA=")</f>
        <v>#REF!</v>
      </c>
      <c r="DJ14" t="e">
        <f>AND(#REF!,"AAAAAH7/pXE=")</f>
        <v>#REF!</v>
      </c>
      <c r="DK14" t="e">
        <f>AND(#REF!,"AAAAAH7/pXI=")</f>
        <v>#REF!</v>
      </c>
      <c r="DL14" t="e">
        <f>AND(#REF!,"AAAAAH7/pXM=")</f>
        <v>#REF!</v>
      </c>
      <c r="DM14" t="e">
        <f>AND(#REF!,"AAAAAH7/pXQ=")</f>
        <v>#REF!</v>
      </c>
      <c r="DN14" t="e">
        <f>AND(#REF!,"AAAAAH7/pXU=")</f>
        <v>#REF!</v>
      </c>
      <c r="DO14" t="e">
        <f>AND(#REF!,"AAAAAH7/pXY=")</f>
        <v>#REF!</v>
      </c>
      <c r="DP14" t="e">
        <f>AND(#REF!,"AAAAAH7/pXc=")</f>
        <v>#REF!</v>
      </c>
      <c r="DQ14" t="e">
        <f>AND(#REF!,"AAAAAH7/pXg=")</f>
        <v>#REF!</v>
      </c>
      <c r="DR14" t="e">
        <f>AND(#REF!,"AAAAAH7/pXk=")</f>
        <v>#REF!</v>
      </c>
      <c r="DS14" t="e">
        <f>AND(#REF!,"AAAAAH7/pXo=")</f>
        <v>#REF!</v>
      </c>
      <c r="DT14" t="e">
        <f>IF(#REF!,"AAAAAH7/pXs=",0)</f>
        <v>#REF!</v>
      </c>
      <c r="DU14" t="e">
        <f>AND(#REF!,"AAAAAH7/pXw=")</f>
        <v>#REF!</v>
      </c>
      <c r="DV14" t="e">
        <f>AND(#REF!,"AAAAAH7/pX0=")</f>
        <v>#REF!</v>
      </c>
      <c r="DW14" t="e">
        <f>AND(#REF!,"AAAAAH7/pX4=")</f>
        <v>#REF!</v>
      </c>
      <c r="DX14" t="e">
        <f>AND(#REF!,"AAAAAH7/pX8=")</f>
        <v>#REF!</v>
      </c>
      <c r="DY14" t="e">
        <f>AND(#REF!,"AAAAAH7/pYA=")</f>
        <v>#REF!</v>
      </c>
      <c r="DZ14" t="e">
        <f>AND(#REF!,"AAAAAH7/pYE=")</f>
        <v>#REF!</v>
      </c>
      <c r="EA14" t="e">
        <f>AND(#REF!,"AAAAAH7/pYI=")</f>
        <v>#REF!</v>
      </c>
      <c r="EB14" t="e">
        <f>AND(#REF!,"AAAAAH7/pYM=")</f>
        <v>#REF!</v>
      </c>
      <c r="EC14" t="e">
        <f>AND(#REF!,"AAAAAH7/pYQ=")</f>
        <v>#REF!</v>
      </c>
      <c r="ED14" t="e">
        <f>AND(#REF!,"AAAAAH7/pYU=")</f>
        <v>#REF!</v>
      </c>
      <c r="EE14" t="e">
        <f>AND(#REF!,"AAAAAH7/pYY=")</f>
        <v>#REF!</v>
      </c>
      <c r="EF14" t="e">
        <f>AND(#REF!,"AAAAAH7/pYc=")</f>
        <v>#REF!</v>
      </c>
      <c r="EG14" t="e">
        <f>AND(#REF!,"AAAAAH7/pYg=")</f>
        <v>#REF!</v>
      </c>
      <c r="EH14" t="e">
        <f>AND(#REF!,"AAAAAH7/pYk=")</f>
        <v>#REF!</v>
      </c>
      <c r="EI14" t="e">
        <f>IF(#REF!,"AAAAAH7/pYo=",0)</f>
        <v>#REF!</v>
      </c>
      <c r="EJ14" t="e">
        <f>AND(#REF!,"AAAAAH7/pYs=")</f>
        <v>#REF!</v>
      </c>
      <c r="EK14" t="e">
        <f>AND(#REF!,"AAAAAH7/pYw=")</f>
        <v>#REF!</v>
      </c>
      <c r="EL14" t="e">
        <f>AND(#REF!,"AAAAAH7/pY0=")</f>
        <v>#REF!</v>
      </c>
      <c r="EM14" t="e">
        <f>AND(#REF!,"AAAAAH7/pY4=")</f>
        <v>#REF!</v>
      </c>
      <c r="EN14" t="e">
        <f>AND(#REF!,"AAAAAH7/pY8=")</f>
        <v>#REF!</v>
      </c>
      <c r="EO14" t="e">
        <f>AND(#REF!,"AAAAAH7/pZA=")</f>
        <v>#REF!</v>
      </c>
      <c r="EP14" t="e">
        <f>AND(#REF!,"AAAAAH7/pZE=")</f>
        <v>#REF!</v>
      </c>
      <c r="EQ14" t="e">
        <f>AND(#REF!,"AAAAAH7/pZI=")</f>
        <v>#REF!</v>
      </c>
      <c r="ER14" t="e">
        <f>AND(#REF!,"AAAAAH7/pZM=")</f>
        <v>#REF!</v>
      </c>
      <c r="ES14" t="e">
        <f>AND(#REF!,"AAAAAH7/pZQ=")</f>
        <v>#REF!</v>
      </c>
      <c r="ET14" t="e">
        <f>AND(#REF!,"AAAAAH7/pZU=")</f>
        <v>#REF!</v>
      </c>
      <c r="EU14" t="e">
        <f>AND(#REF!,"AAAAAH7/pZY=")</f>
        <v>#REF!</v>
      </c>
      <c r="EV14" t="e">
        <f>AND(#REF!,"AAAAAH7/pZc=")</f>
        <v>#REF!</v>
      </c>
      <c r="EW14" t="e">
        <f>AND(#REF!,"AAAAAH7/pZg=")</f>
        <v>#REF!</v>
      </c>
      <c r="EX14" t="e">
        <f>IF(#REF!,"AAAAAH7/pZk=",0)</f>
        <v>#REF!</v>
      </c>
      <c r="EY14" t="e">
        <f>AND(#REF!,"AAAAAH7/pZo=")</f>
        <v>#REF!</v>
      </c>
      <c r="EZ14" t="e">
        <f>AND(#REF!,"AAAAAH7/pZs=")</f>
        <v>#REF!</v>
      </c>
      <c r="FA14" t="e">
        <f>AND(#REF!,"AAAAAH7/pZw=")</f>
        <v>#REF!</v>
      </c>
      <c r="FB14" t="e">
        <f>AND(#REF!,"AAAAAH7/pZ0=")</f>
        <v>#REF!</v>
      </c>
      <c r="FC14" t="e">
        <f>AND(#REF!,"AAAAAH7/pZ4=")</f>
        <v>#REF!</v>
      </c>
      <c r="FD14" t="e">
        <f>AND(#REF!,"AAAAAH7/pZ8=")</f>
        <v>#REF!</v>
      </c>
      <c r="FE14" t="e">
        <f>AND(#REF!,"AAAAAH7/paA=")</f>
        <v>#REF!</v>
      </c>
      <c r="FF14" t="e">
        <f>AND(#REF!,"AAAAAH7/paE=")</f>
        <v>#REF!</v>
      </c>
      <c r="FG14" t="e">
        <f>AND(#REF!,"AAAAAH7/paI=")</f>
        <v>#REF!</v>
      </c>
      <c r="FH14" t="e">
        <f>AND(#REF!,"AAAAAH7/paM=")</f>
        <v>#REF!</v>
      </c>
      <c r="FI14" t="e">
        <f>AND(#REF!,"AAAAAH7/paQ=")</f>
        <v>#REF!</v>
      </c>
      <c r="FJ14" t="e">
        <f>AND(#REF!,"AAAAAH7/paU=")</f>
        <v>#REF!</v>
      </c>
      <c r="FK14" t="e">
        <f>AND(#REF!,"AAAAAH7/paY=")</f>
        <v>#REF!</v>
      </c>
      <c r="FL14" t="e">
        <f>AND(#REF!,"AAAAAH7/pac=")</f>
        <v>#REF!</v>
      </c>
      <c r="FM14" t="e">
        <f>IF(#REF!,"AAAAAH7/pag=",0)</f>
        <v>#REF!</v>
      </c>
      <c r="FN14" t="e">
        <f>AND(#REF!,"AAAAAH7/pak=")</f>
        <v>#REF!</v>
      </c>
      <c r="FO14" t="e">
        <f>AND(#REF!,"AAAAAH7/pao=")</f>
        <v>#REF!</v>
      </c>
      <c r="FP14" t="e">
        <f>AND(#REF!,"AAAAAH7/pas=")</f>
        <v>#REF!</v>
      </c>
      <c r="FQ14" t="e">
        <f>AND(#REF!,"AAAAAH7/paw=")</f>
        <v>#REF!</v>
      </c>
      <c r="FR14" t="e">
        <f>AND(#REF!,"AAAAAH7/pa0=")</f>
        <v>#REF!</v>
      </c>
      <c r="FS14" t="e">
        <f>AND(#REF!,"AAAAAH7/pa4=")</f>
        <v>#REF!</v>
      </c>
      <c r="FT14" t="e">
        <f>AND(#REF!,"AAAAAH7/pa8=")</f>
        <v>#REF!</v>
      </c>
      <c r="FU14" t="e">
        <f>AND(#REF!,"AAAAAH7/pbA=")</f>
        <v>#REF!</v>
      </c>
      <c r="FV14" t="e">
        <f>AND(#REF!,"AAAAAH7/pbE=")</f>
        <v>#REF!</v>
      </c>
      <c r="FW14" t="e">
        <f>AND(#REF!,"AAAAAH7/pbI=")</f>
        <v>#REF!</v>
      </c>
      <c r="FX14" t="e">
        <f>AND(#REF!,"AAAAAH7/pbM=")</f>
        <v>#REF!</v>
      </c>
      <c r="FY14" t="e">
        <f>AND(#REF!,"AAAAAH7/pbQ=")</f>
        <v>#REF!</v>
      </c>
      <c r="FZ14" t="e">
        <f>AND(#REF!,"AAAAAH7/pbU=")</f>
        <v>#REF!</v>
      </c>
      <c r="GA14" t="e">
        <f>AND(#REF!,"AAAAAH7/pbY=")</f>
        <v>#REF!</v>
      </c>
      <c r="GB14" t="e">
        <f>IF(#REF!,"AAAAAH7/pbc=",0)</f>
        <v>#REF!</v>
      </c>
      <c r="GC14" t="e">
        <f>IF(#REF!,"AAAAAH7/pbg=",0)</f>
        <v>#REF!</v>
      </c>
      <c r="GD14" t="e">
        <f>IF(#REF!,"AAAAAH7/pbk=",0)</f>
        <v>#REF!</v>
      </c>
      <c r="GE14" t="e">
        <f>IF(#REF!,"AAAAAH7/pbo=",0)</f>
        <v>#REF!</v>
      </c>
      <c r="GF14" t="e">
        <f>IF(#REF!,"AAAAAH7/pbs=",0)</f>
        <v>#REF!</v>
      </c>
      <c r="GG14" t="e">
        <f>IF(#REF!,"AAAAAH7/pbw=",0)</f>
        <v>#REF!</v>
      </c>
      <c r="GH14" t="e">
        <f>IF(#REF!,"AAAAAH7/pb0=",0)</f>
        <v>#REF!</v>
      </c>
      <c r="GI14" t="e">
        <f>IF(#REF!,"AAAAAH7/pb4=",0)</f>
        <v>#REF!</v>
      </c>
      <c r="GJ14" t="e">
        <f>IF(#REF!,"AAAAAH7/pb8=",0)</f>
        <v>#REF!</v>
      </c>
      <c r="GK14" t="e">
        <f>IF(#REF!,"AAAAAH7/pcA=",0)</f>
        <v>#REF!</v>
      </c>
      <c r="GL14" t="e">
        <f>IF(#REF!,"AAAAAH7/pcE=",0)</f>
        <v>#REF!</v>
      </c>
      <c r="GM14" t="e">
        <f>IF(#REF!,"AAAAAH7/pcI=",0)</f>
        <v>#REF!</v>
      </c>
      <c r="GN14" t="e">
        <f>IF(#REF!,"AAAAAH7/pcM=",0)</f>
        <v>#REF!</v>
      </c>
      <c r="GO14" t="e">
        <f>IF(#REF!,"AAAAAH7/pcQ=",0)</f>
        <v>#REF!</v>
      </c>
      <c r="GP14" t="e">
        <f>IF(#REF!,"AAAAAH7/pcU=",0)</f>
        <v>#REF!</v>
      </c>
      <c r="GQ14" t="e">
        <f>AND(#REF!,"AAAAAH7/pcY=")</f>
        <v>#REF!</v>
      </c>
      <c r="GR14" t="e">
        <f>AND(#REF!,"AAAAAH7/pcc=")</f>
        <v>#REF!</v>
      </c>
      <c r="GS14" t="e">
        <f>AND(#REF!,"AAAAAH7/pcg=")</f>
        <v>#REF!</v>
      </c>
      <c r="GT14" t="e">
        <f>AND(#REF!,"AAAAAH7/pck=")</f>
        <v>#REF!</v>
      </c>
      <c r="GU14" t="e">
        <f>AND(#REF!,"AAAAAH7/pco=")</f>
        <v>#REF!</v>
      </c>
      <c r="GV14" t="e">
        <f>AND(#REF!,"AAAAAH7/pcs=")</f>
        <v>#REF!</v>
      </c>
      <c r="GW14" t="e">
        <f>AND(#REF!,"AAAAAH7/pcw=")</f>
        <v>#REF!</v>
      </c>
      <c r="GX14" t="e">
        <f>AND(#REF!,"AAAAAH7/pc0=")</f>
        <v>#REF!</v>
      </c>
      <c r="GY14" t="e">
        <f>AND(#REF!,"AAAAAH7/pc4=")</f>
        <v>#REF!</v>
      </c>
      <c r="GZ14" t="e">
        <f>AND(#REF!,"AAAAAH7/pc8=")</f>
        <v>#REF!</v>
      </c>
      <c r="HA14" t="e">
        <f>AND(#REF!,"AAAAAH7/pdA=")</f>
        <v>#REF!</v>
      </c>
      <c r="HB14" t="e">
        <f>AND(#REF!,"AAAAAH7/pdE=")</f>
        <v>#REF!</v>
      </c>
      <c r="HC14" t="e">
        <f>AND(#REF!,"AAAAAH7/pdI=")</f>
        <v>#REF!</v>
      </c>
      <c r="HD14" t="e">
        <f>AND(#REF!,"AAAAAH7/pdM=")</f>
        <v>#REF!</v>
      </c>
      <c r="HE14" t="e">
        <f>IF(#REF!,"AAAAAH7/pdQ=",0)</f>
        <v>#REF!</v>
      </c>
      <c r="HF14" t="e">
        <f>AND(#REF!,"AAAAAH7/pdU=")</f>
        <v>#REF!</v>
      </c>
      <c r="HG14" t="e">
        <f>AND(#REF!,"AAAAAH7/pdY=")</f>
        <v>#REF!</v>
      </c>
      <c r="HH14" t="e">
        <f>AND(#REF!,"AAAAAH7/pdc=")</f>
        <v>#REF!</v>
      </c>
      <c r="HI14" t="e">
        <f>AND(#REF!,"AAAAAH7/pdg=")</f>
        <v>#REF!</v>
      </c>
      <c r="HJ14" t="e">
        <f>AND(#REF!,"AAAAAH7/pdk=")</f>
        <v>#REF!</v>
      </c>
      <c r="HK14" t="e">
        <f>AND(#REF!,"AAAAAH7/pdo=")</f>
        <v>#REF!</v>
      </c>
      <c r="HL14" t="e">
        <f>AND(#REF!,"AAAAAH7/pds=")</f>
        <v>#REF!</v>
      </c>
      <c r="HM14" t="e">
        <f>AND(#REF!,"AAAAAH7/pdw=")</f>
        <v>#REF!</v>
      </c>
      <c r="HN14" t="e">
        <f>AND(#REF!,"AAAAAH7/pd0=")</f>
        <v>#REF!</v>
      </c>
      <c r="HO14" t="e">
        <f>AND(#REF!,"AAAAAH7/pd4=")</f>
        <v>#REF!</v>
      </c>
      <c r="HP14" t="e">
        <f>AND(#REF!,"AAAAAH7/pd8=")</f>
        <v>#REF!</v>
      </c>
      <c r="HQ14" t="e">
        <f>AND(#REF!,"AAAAAH7/peA=")</f>
        <v>#REF!</v>
      </c>
      <c r="HR14" t="e">
        <f>AND(#REF!,"AAAAAH7/peE=")</f>
        <v>#REF!</v>
      </c>
      <c r="HS14" t="e">
        <f>AND(#REF!,"AAAAAH7/peI=")</f>
        <v>#REF!</v>
      </c>
      <c r="HT14" t="e">
        <f>IF(#REF!,"AAAAAH7/peM=",0)</f>
        <v>#REF!</v>
      </c>
      <c r="HU14" t="e">
        <f>AND(#REF!,"AAAAAH7/peQ=")</f>
        <v>#REF!</v>
      </c>
      <c r="HV14" t="e">
        <f>AND(#REF!,"AAAAAH7/peU=")</f>
        <v>#REF!</v>
      </c>
      <c r="HW14" t="e">
        <f>AND(#REF!,"AAAAAH7/peY=")</f>
        <v>#REF!</v>
      </c>
      <c r="HX14" t="e">
        <f>AND(#REF!,"AAAAAH7/pec=")</f>
        <v>#REF!</v>
      </c>
      <c r="HY14" t="e">
        <f>AND(#REF!,"AAAAAH7/peg=")</f>
        <v>#REF!</v>
      </c>
      <c r="HZ14" t="e">
        <f>AND(#REF!,"AAAAAH7/pek=")</f>
        <v>#REF!</v>
      </c>
      <c r="IA14" t="e">
        <f>AND(#REF!,"AAAAAH7/peo=")</f>
        <v>#REF!</v>
      </c>
      <c r="IB14" t="e">
        <f>AND(#REF!,"AAAAAH7/pes=")</f>
        <v>#REF!</v>
      </c>
      <c r="IC14" t="e">
        <f>AND(#REF!,"AAAAAH7/pew=")</f>
        <v>#REF!</v>
      </c>
      <c r="ID14" t="e">
        <f>AND(#REF!,"AAAAAH7/pe0=")</f>
        <v>#REF!</v>
      </c>
      <c r="IE14" t="e">
        <f>AND(#REF!,"AAAAAH7/pe4=")</f>
        <v>#REF!</v>
      </c>
      <c r="IF14" t="e">
        <f>AND(#REF!,"AAAAAH7/pe8=")</f>
        <v>#REF!</v>
      </c>
      <c r="IG14" t="e">
        <f>AND(#REF!,"AAAAAH7/pfA=")</f>
        <v>#REF!</v>
      </c>
      <c r="IH14" t="e">
        <f>AND(#REF!,"AAAAAH7/pfE=")</f>
        <v>#REF!</v>
      </c>
      <c r="II14" t="e">
        <f>IF(#REF!,"AAAAAH7/pfI=",0)</f>
        <v>#REF!</v>
      </c>
      <c r="IJ14" t="e">
        <f>AND(#REF!,"AAAAAH7/pfM=")</f>
        <v>#REF!</v>
      </c>
      <c r="IK14" t="e">
        <f>AND(#REF!,"AAAAAH7/pfQ=")</f>
        <v>#REF!</v>
      </c>
      <c r="IL14" t="e">
        <f>AND(#REF!,"AAAAAH7/pfU=")</f>
        <v>#REF!</v>
      </c>
      <c r="IM14" t="e">
        <f>AND(#REF!,"AAAAAH7/pfY=")</f>
        <v>#REF!</v>
      </c>
      <c r="IN14" t="e">
        <f>AND(#REF!,"AAAAAH7/pfc=")</f>
        <v>#REF!</v>
      </c>
      <c r="IO14" t="e">
        <f>AND(#REF!,"AAAAAH7/pfg=")</f>
        <v>#REF!</v>
      </c>
      <c r="IP14" t="e">
        <f>AND(#REF!,"AAAAAH7/pfk=")</f>
        <v>#REF!</v>
      </c>
      <c r="IQ14" t="e">
        <f>AND(#REF!,"AAAAAH7/pfo=")</f>
        <v>#REF!</v>
      </c>
      <c r="IR14" t="e">
        <f>AND(#REF!,"AAAAAH7/pfs=")</f>
        <v>#REF!</v>
      </c>
      <c r="IS14" t="e">
        <f>AND(#REF!,"AAAAAH7/pfw=")</f>
        <v>#REF!</v>
      </c>
      <c r="IT14" t="e">
        <f>AND(#REF!,"AAAAAH7/pf0=")</f>
        <v>#REF!</v>
      </c>
      <c r="IU14" t="e">
        <f>AND(#REF!,"AAAAAH7/pf4=")</f>
        <v>#REF!</v>
      </c>
      <c r="IV14" t="e">
        <f>AND(#REF!,"AAAAAH7/pf8=")</f>
        <v>#REF!</v>
      </c>
    </row>
    <row r="15" spans="1:256">
      <c r="A15" t="e">
        <f>AND(#REF!,"AAAAAE/3vwA=")</f>
        <v>#REF!</v>
      </c>
      <c r="B15" t="e">
        <f>IF(#REF!,"AAAAAE/3vwE=",0)</f>
        <v>#REF!</v>
      </c>
      <c r="C15" t="e">
        <f>AND(#REF!,"AAAAAE/3vwI=")</f>
        <v>#REF!</v>
      </c>
      <c r="D15" t="e">
        <f>AND(#REF!,"AAAAAE/3vwM=")</f>
        <v>#REF!</v>
      </c>
      <c r="E15" t="e">
        <f>AND(#REF!,"AAAAAE/3vwQ=")</f>
        <v>#REF!</v>
      </c>
      <c r="F15" t="e">
        <f>AND(#REF!,"AAAAAE/3vwU=")</f>
        <v>#REF!</v>
      </c>
      <c r="G15" t="e">
        <f>AND(#REF!,"AAAAAE/3vwY=")</f>
        <v>#REF!</v>
      </c>
      <c r="H15" t="e">
        <f>AND(#REF!,"AAAAAE/3vwc=")</f>
        <v>#REF!</v>
      </c>
      <c r="I15" t="e">
        <f>AND(#REF!,"AAAAAE/3vwg=")</f>
        <v>#REF!</v>
      </c>
      <c r="J15" t="e">
        <f>AND(#REF!,"AAAAAE/3vwk=")</f>
        <v>#REF!</v>
      </c>
      <c r="K15" t="e">
        <f>AND(#REF!,"AAAAAE/3vwo=")</f>
        <v>#REF!</v>
      </c>
      <c r="L15" t="e">
        <f>AND(#REF!,"AAAAAE/3vws=")</f>
        <v>#REF!</v>
      </c>
      <c r="M15" t="e">
        <f>AND(#REF!,"AAAAAE/3vww=")</f>
        <v>#REF!</v>
      </c>
      <c r="N15" t="e">
        <f>AND(#REF!,"AAAAAE/3vw0=")</f>
        <v>#REF!</v>
      </c>
      <c r="O15" t="e">
        <f>AND(#REF!,"AAAAAE/3vw4=")</f>
        <v>#REF!</v>
      </c>
      <c r="P15" t="e">
        <f>AND(#REF!,"AAAAAE/3vw8=")</f>
        <v>#REF!</v>
      </c>
      <c r="Q15" t="e">
        <f>IF(#REF!,"AAAAAE/3vxA=",0)</f>
        <v>#REF!</v>
      </c>
      <c r="R15" t="e">
        <f>AND(#REF!,"AAAAAE/3vxE=")</f>
        <v>#REF!</v>
      </c>
      <c r="S15" t="e">
        <f>AND(#REF!,"AAAAAE/3vxI=")</f>
        <v>#REF!</v>
      </c>
      <c r="T15" t="e">
        <f>AND(#REF!,"AAAAAE/3vxM=")</f>
        <v>#REF!</v>
      </c>
      <c r="U15" t="e">
        <f>AND(#REF!,"AAAAAE/3vxQ=")</f>
        <v>#REF!</v>
      </c>
      <c r="V15" t="e">
        <f>AND(#REF!,"AAAAAE/3vxU=")</f>
        <v>#REF!</v>
      </c>
      <c r="W15" t="e">
        <f>AND(#REF!,"AAAAAE/3vxY=")</f>
        <v>#REF!</v>
      </c>
      <c r="X15" t="e">
        <f>AND(#REF!,"AAAAAE/3vxc=")</f>
        <v>#REF!</v>
      </c>
      <c r="Y15" t="e">
        <f>AND(#REF!,"AAAAAE/3vxg=")</f>
        <v>#REF!</v>
      </c>
      <c r="Z15" t="e">
        <f>AND(#REF!,"AAAAAE/3vxk=")</f>
        <v>#REF!</v>
      </c>
      <c r="AA15" t="e">
        <f>AND(#REF!,"AAAAAE/3vxo=")</f>
        <v>#REF!</v>
      </c>
      <c r="AB15" t="e">
        <f>AND(#REF!,"AAAAAE/3vxs=")</f>
        <v>#REF!</v>
      </c>
      <c r="AC15" t="e">
        <f>AND(#REF!,"AAAAAE/3vxw=")</f>
        <v>#REF!</v>
      </c>
      <c r="AD15" t="e">
        <f>AND(#REF!,"AAAAAE/3vx0=")</f>
        <v>#REF!</v>
      </c>
      <c r="AE15" t="e">
        <f>AND(#REF!,"AAAAAE/3vx4=")</f>
        <v>#REF!</v>
      </c>
      <c r="AF15" t="e">
        <f>IF(#REF!,"AAAAAE/3vx8=",0)</f>
        <v>#REF!</v>
      </c>
      <c r="AG15" t="e">
        <f>AND(#REF!,"AAAAAE/3vyA=")</f>
        <v>#REF!</v>
      </c>
      <c r="AH15" t="e">
        <f>AND(#REF!,"AAAAAE/3vyE=")</f>
        <v>#REF!</v>
      </c>
      <c r="AI15" t="e">
        <f>AND(#REF!,"AAAAAE/3vyI=")</f>
        <v>#REF!</v>
      </c>
      <c r="AJ15" t="e">
        <f>AND(#REF!,"AAAAAE/3vyM=")</f>
        <v>#REF!</v>
      </c>
      <c r="AK15" t="e">
        <f>AND(#REF!,"AAAAAE/3vyQ=")</f>
        <v>#REF!</v>
      </c>
      <c r="AL15" t="e">
        <f>AND(#REF!,"AAAAAE/3vyU=")</f>
        <v>#REF!</v>
      </c>
      <c r="AM15" t="e">
        <f>AND(#REF!,"AAAAAE/3vyY=")</f>
        <v>#REF!</v>
      </c>
      <c r="AN15" t="e">
        <f>AND(#REF!,"AAAAAE/3vyc=")</f>
        <v>#REF!</v>
      </c>
      <c r="AO15" t="e">
        <f>AND(#REF!,"AAAAAE/3vyg=")</f>
        <v>#REF!</v>
      </c>
      <c r="AP15" t="e">
        <f>AND(#REF!,"AAAAAE/3vyk=")</f>
        <v>#REF!</v>
      </c>
      <c r="AQ15" t="e">
        <f>AND(#REF!,"AAAAAE/3vyo=")</f>
        <v>#REF!</v>
      </c>
      <c r="AR15" t="e">
        <f>AND(#REF!,"AAAAAE/3vys=")</f>
        <v>#REF!</v>
      </c>
      <c r="AS15" t="e">
        <f>AND(#REF!,"AAAAAE/3vyw=")</f>
        <v>#REF!</v>
      </c>
      <c r="AT15" t="e">
        <f>AND(#REF!,"AAAAAE/3vy0=")</f>
        <v>#REF!</v>
      </c>
      <c r="AU15" t="e">
        <f>IF(#REF!,"AAAAAE/3vy4=",0)</f>
        <v>#REF!</v>
      </c>
      <c r="AV15" t="e">
        <f>AND(#REF!,"AAAAAE/3vy8=")</f>
        <v>#REF!</v>
      </c>
      <c r="AW15" t="e">
        <f>AND(#REF!,"AAAAAE/3vzA=")</f>
        <v>#REF!</v>
      </c>
      <c r="AX15" t="e">
        <f>AND(#REF!,"AAAAAE/3vzE=")</f>
        <v>#REF!</v>
      </c>
      <c r="AY15" t="e">
        <f>AND(#REF!,"AAAAAE/3vzI=")</f>
        <v>#REF!</v>
      </c>
      <c r="AZ15" t="e">
        <f>AND(#REF!,"AAAAAE/3vzM=")</f>
        <v>#REF!</v>
      </c>
      <c r="BA15" t="e">
        <f>AND(#REF!,"AAAAAE/3vzQ=")</f>
        <v>#REF!</v>
      </c>
      <c r="BB15" t="e">
        <f>AND(#REF!,"AAAAAE/3vzU=")</f>
        <v>#REF!</v>
      </c>
      <c r="BC15" t="e">
        <f>AND(#REF!,"AAAAAE/3vzY=")</f>
        <v>#REF!</v>
      </c>
      <c r="BD15" t="e">
        <f>AND(#REF!,"AAAAAE/3vzc=")</f>
        <v>#REF!</v>
      </c>
      <c r="BE15" t="e">
        <f>AND(#REF!,"AAAAAE/3vzg=")</f>
        <v>#REF!</v>
      </c>
      <c r="BF15" t="e">
        <f>AND(#REF!,"AAAAAE/3vzk=")</f>
        <v>#REF!</v>
      </c>
      <c r="BG15" t="e">
        <f>AND(#REF!,"AAAAAE/3vzo=")</f>
        <v>#REF!</v>
      </c>
      <c r="BH15" t="e">
        <f>AND(#REF!,"AAAAAE/3vzs=")</f>
        <v>#REF!</v>
      </c>
      <c r="BI15" t="e">
        <f>AND(#REF!,"AAAAAE/3vzw=")</f>
        <v>#REF!</v>
      </c>
      <c r="BJ15" t="e">
        <f>IF(#REF!,"AAAAAE/3vz0=",0)</f>
        <v>#REF!</v>
      </c>
      <c r="BK15" t="e">
        <f>AND(#REF!,"AAAAAE/3vz4=")</f>
        <v>#REF!</v>
      </c>
      <c r="BL15" t="e">
        <f>AND(#REF!,"AAAAAE/3vz8=")</f>
        <v>#REF!</v>
      </c>
      <c r="BM15" t="e">
        <f>AND(#REF!,"AAAAAE/3v0A=")</f>
        <v>#REF!</v>
      </c>
      <c r="BN15" t="e">
        <f>AND(#REF!,"AAAAAE/3v0E=")</f>
        <v>#REF!</v>
      </c>
      <c r="BO15" t="e">
        <f>AND(#REF!,"AAAAAE/3v0I=")</f>
        <v>#REF!</v>
      </c>
      <c r="BP15" t="e">
        <f>AND(#REF!,"AAAAAE/3v0M=")</f>
        <v>#REF!</v>
      </c>
      <c r="BQ15" t="e">
        <f>AND(#REF!,"AAAAAE/3v0Q=")</f>
        <v>#REF!</v>
      </c>
      <c r="BR15" t="e">
        <f>AND(#REF!,"AAAAAE/3v0U=")</f>
        <v>#REF!</v>
      </c>
      <c r="BS15" t="e">
        <f>AND(#REF!,"AAAAAE/3v0Y=")</f>
        <v>#REF!</v>
      </c>
      <c r="BT15" t="e">
        <f>AND(#REF!,"AAAAAE/3v0c=")</f>
        <v>#REF!</v>
      </c>
      <c r="BU15" t="e">
        <f>AND(#REF!,"AAAAAE/3v0g=")</f>
        <v>#REF!</v>
      </c>
      <c r="BV15" t="e">
        <f>AND(#REF!,"AAAAAE/3v0k=")</f>
        <v>#REF!</v>
      </c>
      <c r="BW15" t="e">
        <f>AND(#REF!,"AAAAAE/3v0o=")</f>
        <v>#REF!</v>
      </c>
      <c r="BX15" t="e">
        <f>AND(#REF!,"AAAAAE/3v0s=")</f>
        <v>#REF!</v>
      </c>
      <c r="BY15" t="e">
        <f>IF(#REF!,"AAAAAE/3v0w=",0)</f>
        <v>#REF!</v>
      </c>
      <c r="BZ15" t="e">
        <f>AND(#REF!,"AAAAAE/3v00=")</f>
        <v>#REF!</v>
      </c>
      <c r="CA15" t="e">
        <f>AND(#REF!,"AAAAAE/3v04=")</f>
        <v>#REF!</v>
      </c>
      <c r="CB15" t="e">
        <f>AND(#REF!,"AAAAAE/3v08=")</f>
        <v>#REF!</v>
      </c>
      <c r="CC15" t="e">
        <f>AND(#REF!,"AAAAAE/3v1A=")</f>
        <v>#REF!</v>
      </c>
      <c r="CD15" t="e">
        <f>AND(#REF!,"AAAAAE/3v1E=")</f>
        <v>#REF!</v>
      </c>
      <c r="CE15" t="e">
        <f>AND(#REF!,"AAAAAE/3v1I=")</f>
        <v>#REF!</v>
      </c>
      <c r="CF15" t="e">
        <f>AND(#REF!,"AAAAAE/3v1M=")</f>
        <v>#REF!</v>
      </c>
      <c r="CG15" t="e">
        <f>AND(#REF!,"AAAAAE/3v1Q=")</f>
        <v>#REF!</v>
      </c>
      <c r="CH15" t="e">
        <f>AND(#REF!,"AAAAAE/3v1U=")</f>
        <v>#REF!</v>
      </c>
      <c r="CI15" t="e">
        <f>AND(#REF!,"AAAAAE/3v1Y=")</f>
        <v>#REF!</v>
      </c>
      <c r="CJ15" t="e">
        <f>AND(#REF!,"AAAAAE/3v1c=")</f>
        <v>#REF!</v>
      </c>
      <c r="CK15" t="e">
        <f>AND(#REF!,"AAAAAE/3v1g=")</f>
        <v>#REF!</v>
      </c>
      <c r="CL15" t="e">
        <f>AND(#REF!,"AAAAAE/3v1k=")</f>
        <v>#REF!</v>
      </c>
      <c r="CM15" t="e">
        <f>AND(#REF!,"AAAAAE/3v1o=")</f>
        <v>#REF!</v>
      </c>
      <c r="CN15" t="e">
        <f>IF(#REF!,"AAAAAE/3v1s=",0)</f>
        <v>#REF!</v>
      </c>
      <c r="CO15" t="e">
        <f>AND(#REF!,"AAAAAE/3v1w=")</f>
        <v>#REF!</v>
      </c>
      <c r="CP15" t="e">
        <f>AND(#REF!,"AAAAAE/3v10=")</f>
        <v>#REF!</v>
      </c>
      <c r="CQ15" t="e">
        <f>AND(#REF!,"AAAAAE/3v14=")</f>
        <v>#REF!</v>
      </c>
      <c r="CR15" t="e">
        <f>AND(#REF!,"AAAAAE/3v18=")</f>
        <v>#REF!</v>
      </c>
      <c r="CS15" t="e">
        <f>AND(#REF!,"AAAAAE/3v2A=")</f>
        <v>#REF!</v>
      </c>
      <c r="CT15" t="e">
        <f>AND(#REF!,"AAAAAE/3v2E=")</f>
        <v>#REF!</v>
      </c>
      <c r="CU15" t="e">
        <f>AND(#REF!,"AAAAAE/3v2I=")</f>
        <v>#REF!</v>
      </c>
      <c r="CV15" t="e">
        <f>AND(#REF!,"AAAAAE/3v2M=")</f>
        <v>#REF!</v>
      </c>
      <c r="CW15" t="e">
        <f>AND(#REF!,"AAAAAE/3v2Q=")</f>
        <v>#REF!</v>
      </c>
      <c r="CX15" t="e">
        <f>AND(#REF!,"AAAAAE/3v2U=")</f>
        <v>#REF!</v>
      </c>
      <c r="CY15" t="e">
        <f>AND(#REF!,"AAAAAE/3v2Y=")</f>
        <v>#REF!</v>
      </c>
      <c r="CZ15" t="e">
        <f>AND(#REF!,"AAAAAE/3v2c=")</f>
        <v>#REF!</v>
      </c>
      <c r="DA15" t="e">
        <f>AND(#REF!,"AAAAAE/3v2g=")</f>
        <v>#REF!</v>
      </c>
      <c r="DB15" t="e">
        <f>AND(#REF!,"AAAAAE/3v2k=")</f>
        <v>#REF!</v>
      </c>
      <c r="DC15" t="e">
        <f>IF(#REF!,"AAAAAE/3v2o=",0)</f>
        <v>#REF!</v>
      </c>
      <c r="DD15" t="e">
        <f>AND(#REF!,"AAAAAE/3v2s=")</f>
        <v>#REF!</v>
      </c>
      <c r="DE15" t="e">
        <f>AND(#REF!,"AAAAAE/3v2w=")</f>
        <v>#REF!</v>
      </c>
      <c r="DF15" t="e">
        <f>AND(#REF!,"AAAAAE/3v20=")</f>
        <v>#REF!</v>
      </c>
      <c r="DG15" t="e">
        <f>AND(#REF!,"AAAAAE/3v24=")</f>
        <v>#REF!</v>
      </c>
      <c r="DH15" t="e">
        <f>AND(#REF!,"AAAAAE/3v28=")</f>
        <v>#REF!</v>
      </c>
      <c r="DI15" t="e">
        <f>AND(#REF!,"AAAAAE/3v3A=")</f>
        <v>#REF!</v>
      </c>
      <c r="DJ15" t="e">
        <f>AND(#REF!,"AAAAAE/3v3E=")</f>
        <v>#REF!</v>
      </c>
      <c r="DK15" t="e">
        <f>AND(#REF!,"AAAAAE/3v3I=")</f>
        <v>#REF!</v>
      </c>
      <c r="DL15" t="e">
        <f>AND(#REF!,"AAAAAE/3v3M=")</f>
        <v>#REF!</v>
      </c>
      <c r="DM15" t="e">
        <f>AND(#REF!,"AAAAAE/3v3Q=")</f>
        <v>#REF!</v>
      </c>
      <c r="DN15" t="e">
        <f>AND(#REF!,"AAAAAE/3v3U=")</f>
        <v>#REF!</v>
      </c>
      <c r="DO15" t="e">
        <f>AND(#REF!,"AAAAAE/3v3Y=")</f>
        <v>#REF!</v>
      </c>
      <c r="DP15" t="e">
        <f>AND(#REF!,"AAAAAE/3v3c=")</f>
        <v>#REF!</v>
      </c>
      <c r="DQ15" t="e">
        <f>AND(#REF!,"AAAAAE/3v3g=")</f>
        <v>#REF!</v>
      </c>
      <c r="DR15" t="e">
        <f>IF(#REF!,"AAAAAE/3v3k=",0)</f>
        <v>#REF!</v>
      </c>
      <c r="DS15" t="e">
        <f>AND(#REF!,"AAAAAE/3v3o=")</f>
        <v>#REF!</v>
      </c>
      <c r="DT15" t="e">
        <f>AND(#REF!,"AAAAAE/3v3s=")</f>
        <v>#REF!</v>
      </c>
      <c r="DU15" t="e">
        <f>AND(#REF!,"AAAAAE/3v3w=")</f>
        <v>#REF!</v>
      </c>
      <c r="DV15" t="e">
        <f>AND(#REF!,"AAAAAE/3v30=")</f>
        <v>#REF!</v>
      </c>
      <c r="DW15" t="e">
        <f>AND(#REF!,"AAAAAE/3v34=")</f>
        <v>#REF!</v>
      </c>
      <c r="DX15" t="e">
        <f>AND(#REF!,"AAAAAE/3v38=")</f>
        <v>#REF!</v>
      </c>
      <c r="DY15" t="e">
        <f>AND(#REF!,"AAAAAE/3v4A=")</f>
        <v>#REF!</v>
      </c>
      <c r="DZ15" t="e">
        <f>AND(#REF!,"AAAAAE/3v4E=")</f>
        <v>#REF!</v>
      </c>
      <c r="EA15" t="e">
        <f>AND(#REF!,"AAAAAE/3v4I=")</f>
        <v>#REF!</v>
      </c>
      <c r="EB15" t="e">
        <f>AND(#REF!,"AAAAAE/3v4M=")</f>
        <v>#REF!</v>
      </c>
      <c r="EC15" t="e">
        <f>AND(#REF!,"AAAAAE/3v4Q=")</f>
        <v>#REF!</v>
      </c>
      <c r="ED15" t="e">
        <f>AND(#REF!,"AAAAAE/3v4U=")</f>
        <v>#REF!</v>
      </c>
      <c r="EE15" t="e">
        <f>AND(#REF!,"AAAAAE/3v4Y=")</f>
        <v>#REF!</v>
      </c>
      <c r="EF15" t="e">
        <f>AND(#REF!,"AAAAAE/3v4c=")</f>
        <v>#REF!</v>
      </c>
      <c r="EG15" t="e">
        <f>IF(#REF!,"AAAAAE/3v4g=",0)</f>
        <v>#REF!</v>
      </c>
      <c r="EH15" t="e">
        <f>AND(#REF!,"AAAAAE/3v4k=")</f>
        <v>#REF!</v>
      </c>
      <c r="EI15" t="e">
        <f>AND(#REF!,"AAAAAE/3v4o=")</f>
        <v>#REF!</v>
      </c>
      <c r="EJ15" t="e">
        <f>AND(#REF!,"AAAAAE/3v4s=")</f>
        <v>#REF!</v>
      </c>
      <c r="EK15" t="e">
        <f>AND(#REF!,"AAAAAE/3v4w=")</f>
        <v>#REF!</v>
      </c>
      <c r="EL15" t="e">
        <f>AND(#REF!,"AAAAAE/3v40=")</f>
        <v>#REF!</v>
      </c>
      <c r="EM15" t="e">
        <f>AND(#REF!,"AAAAAE/3v44=")</f>
        <v>#REF!</v>
      </c>
      <c r="EN15" t="e">
        <f>AND(#REF!,"AAAAAE/3v48=")</f>
        <v>#REF!</v>
      </c>
      <c r="EO15" t="e">
        <f>AND(#REF!,"AAAAAE/3v5A=")</f>
        <v>#REF!</v>
      </c>
      <c r="EP15" t="e">
        <f>AND(#REF!,"AAAAAE/3v5E=")</f>
        <v>#REF!</v>
      </c>
      <c r="EQ15" t="e">
        <f>AND(#REF!,"AAAAAE/3v5I=")</f>
        <v>#REF!</v>
      </c>
      <c r="ER15" t="e">
        <f>AND(#REF!,"AAAAAE/3v5M=")</f>
        <v>#REF!</v>
      </c>
      <c r="ES15" t="e">
        <f>AND(#REF!,"AAAAAE/3v5Q=")</f>
        <v>#REF!</v>
      </c>
      <c r="ET15" t="e">
        <f>AND(#REF!,"AAAAAE/3v5U=")</f>
        <v>#REF!</v>
      </c>
      <c r="EU15" t="e">
        <f>AND(#REF!,"AAAAAE/3v5Y=")</f>
        <v>#REF!</v>
      </c>
      <c r="EV15" t="e">
        <f>IF(#REF!,"AAAAAE/3v5c=",0)</f>
        <v>#REF!</v>
      </c>
      <c r="EW15" t="e">
        <f>AND(#REF!,"AAAAAE/3v5g=")</f>
        <v>#REF!</v>
      </c>
      <c r="EX15" t="e">
        <f>AND(#REF!,"AAAAAE/3v5k=")</f>
        <v>#REF!</v>
      </c>
      <c r="EY15" t="e">
        <f>AND(#REF!,"AAAAAE/3v5o=")</f>
        <v>#REF!</v>
      </c>
      <c r="EZ15" t="e">
        <f>AND(#REF!,"AAAAAE/3v5s=")</f>
        <v>#REF!</v>
      </c>
      <c r="FA15" t="e">
        <f>AND(#REF!,"AAAAAE/3v5w=")</f>
        <v>#REF!</v>
      </c>
      <c r="FB15" t="e">
        <f>AND(#REF!,"AAAAAE/3v50=")</f>
        <v>#REF!</v>
      </c>
      <c r="FC15" t="e">
        <f>AND(#REF!,"AAAAAE/3v54=")</f>
        <v>#REF!</v>
      </c>
      <c r="FD15" t="e">
        <f>AND(#REF!,"AAAAAE/3v58=")</f>
        <v>#REF!</v>
      </c>
      <c r="FE15" t="e">
        <f>AND(#REF!,"AAAAAE/3v6A=")</f>
        <v>#REF!</v>
      </c>
      <c r="FF15" t="e">
        <f>AND(#REF!,"AAAAAE/3v6E=")</f>
        <v>#REF!</v>
      </c>
      <c r="FG15" t="e">
        <f>AND(#REF!,"AAAAAE/3v6I=")</f>
        <v>#REF!</v>
      </c>
      <c r="FH15" t="e">
        <f>AND(#REF!,"AAAAAE/3v6M=")</f>
        <v>#REF!</v>
      </c>
      <c r="FI15" t="e">
        <f>AND(#REF!,"AAAAAE/3v6Q=")</f>
        <v>#REF!</v>
      </c>
      <c r="FJ15" t="e">
        <f>AND(#REF!,"AAAAAE/3v6U=")</f>
        <v>#REF!</v>
      </c>
      <c r="FK15" t="e">
        <f>IF(#REF!,"AAAAAE/3v6Y=",0)</f>
        <v>#REF!</v>
      </c>
      <c r="FL15" t="e">
        <f>AND(#REF!,"AAAAAE/3v6c=")</f>
        <v>#REF!</v>
      </c>
      <c r="FM15" t="e">
        <f>AND(#REF!,"AAAAAE/3v6g=")</f>
        <v>#REF!</v>
      </c>
      <c r="FN15" t="e">
        <f>AND(#REF!,"AAAAAE/3v6k=")</f>
        <v>#REF!</v>
      </c>
      <c r="FO15" t="e">
        <f>AND(#REF!,"AAAAAE/3v6o=")</f>
        <v>#REF!</v>
      </c>
      <c r="FP15" t="e">
        <f>AND(#REF!,"AAAAAE/3v6s=")</f>
        <v>#REF!</v>
      </c>
      <c r="FQ15" t="e">
        <f>AND(#REF!,"AAAAAE/3v6w=")</f>
        <v>#REF!</v>
      </c>
      <c r="FR15" t="e">
        <f>AND(#REF!,"AAAAAE/3v60=")</f>
        <v>#REF!</v>
      </c>
      <c r="FS15" t="e">
        <f>AND(#REF!,"AAAAAE/3v64=")</f>
        <v>#REF!</v>
      </c>
      <c r="FT15" t="e">
        <f>AND(#REF!,"AAAAAE/3v68=")</f>
        <v>#REF!</v>
      </c>
      <c r="FU15" t="e">
        <f>AND(#REF!,"AAAAAE/3v7A=")</f>
        <v>#REF!</v>
      </c>
      <c r="FV15" t="e">
        <f>AND(#REF!,"AAAAAE/3v7E=")</f>
        <v>#REF!</v>
      </c>
      <c r="FW15" t="e">
        <f>AND(#REF!,"AAAAAE/3v7I=")</f>
        <v>#REF!</v>
      </c>
      <c r="FX15" t="e">
        <f>AND(#REF!,"AAAAAE/3v7M=")</f>
        <v>#REF!</v>
      </c>
      <c r="FY15" t="e">
        <f>AND(#REF!,"AAAAAE/3v7Q=")</f>
        <v>#REF!</v>
      </c>
      <c r="FZ15" t="e">
        <f>IF(#REF!,"AAAAAE/3v7U=",0)</f>
        <v>#REF!</v>
      </c>
      <c r="GA15" t="e">
        <f>AND(#REF!,"AAAAAE/3v7Y=")</f>
        <v>#REF!</v>
      </c>
      <c r="GB15" t="e">
        <f>AND(#REF!,"AAAAAE/3v7c=")</f>
        <v>#REF!</v>
      </c>
      <c r="GC15" t="e">
        <f>AND(#REF!,"AAAAAE/3v7g=")</f>
        <v>#REF!</v>
      </c>
      <c r="GD15" t="e">
        <f>AND(#REF!,"AAAAAE/3v7k=")</f>
        <v>#REF!</v>
      </c>
      <c r="GE15" t="e">
        <f>AND(#REF!,"AAAAAE/3v7o=")</f>
        <v>#REF!</v>
      </c>
      <c r="GF15" t="e">
        <f>AND(#REF!,"AAAAAE/3v7s=")</f>
        <v>#REF!</v>
      </c>
      <c r="GG15" t="e">
        <f>AND(#REF!,"AAAAAE/3v7w=")</f>
        <v>#REF!</v>
      </c>
      <c r="GH15" t="e">
        <f>AND(#REF!,"AAAAAE/3v70=")</f>
        <v>#REF!</v>
      </c>
      <c r="GI15" t="e">
        <f>AND(#REF!,"AAAAAE/3v74=")</f>
        <v>#REF!</v>
      </c>
      <c r="GJ15" t="e">
        <f>AND(#REF!,"AAAAAE/3v78=")</f>
        <v>#REF!</v>
      </c>
      <c r="GK15" t="e">
        <f>AND(#REF!,"AAAAAE/3v8A=")</f>
        <v>#REF!</v>
      </c>
      <c r="GL15" t="e">
        <f>AND(#REF!,"AAAAAE/3v8E=")</f>
        <v>#REF!</v>
      </c>
      <c r="GM15" t="e">
        <f>AND(#REF!,"AAAAAE/3v8I=")</f>
        <v>#REF!</v>
      </c>
      <c r="GN15" t="e">
        <f>AND(#REF!,"AAAAAE/3v8M=")</f>
        <v>#REF!</v>
      </c>
      <c r="GO15" t="e">
        <f>IF(#REF!,"AAAAAE/3v8Q=",0)</f>
        <v>#REF!</v>
      </c>
      <c r="GP15" t="e">
        <f>AND(#REF!,"AAAAAE/3v8U=")</f>
        <v>#REF!</v>
      </c>
      <c r="GQ15" t="e">
        <f>AND(#REF!,"AAAAAE/3v8Y=")</f>
        <v>#REF!</v>
      </c>
      <c r="GR15" t="e">
        <f>AND(#REF!,"AAAAAE/3v8c=")</f>
        <v>#REF!</v>
      </c>
      <c r="GS15" t="e">
        <f>AND(#REF!,"AAAAAE/3v8g=")</f>
        <v>#REF!</v>
      </c>
      <c r="GT15" t="e">
        <f>AND(#REF!,"AAAAAE/3v8k=")</f>
        <v>#REF!</v>
      </c>
      <c r="GU15" t="e">
        <f>AND(#REF!,"AAAAAE/3v8o=")</f>
        <v>#REF!</v>
      </c>
      <c r="GV15" t="e">
        <f>AND(#REF!,"AAAAAE/3v8s=")</f>
        <v>#REF!</v>
      </c>
      <c r="GW15" t="e">
        <f>AND(#REF!,"AAAAAE/3v8w=")</f>
        <v>#REF!</v>
      </c>
      <c r="GX15" t="e">
        <f>AND(#REF!,"AAAAAE/3v80=")</f>
        <v>#REF!</v>
      </c>
      <c r="GY15" t="e">
        <f>AND(#REF!,"AAAAAE/3v84=")</f>
        <v>#REF!</v>
      </c>
      <c r="GZ15" t="e">
        <f>AND(#REF!,"AAAAAE/3v88=")</f>
        <v>#REF!</v>
      </c>
      <c r="HA15" t="e">
        <f>AND(#REF!,"AAAAAE/3v9A=")</f>
        <v>#REF!</v>
      </c>
      <c r="HB15" t="e">
        <f>AND(#REF!,"AAAAAE/3v9E=")</f>
        <v>#REF!</v>
      </c>
      <c r="HC15" t="e">
        <f>AND(#REF!,"AAAAAE/3v9I=")</f>
        <v>#REF!</v>
      </c>
      <c r="HD15" t="e">
        <f>IF(#REF!,"AAAAAE/3v9M=",0)</f>
        <v>#REF!</v>
      </c>
      <c r="HE15" t="e">
        <f>AND(#REF!,"AAAAAE/3v9Q=")</f>
        <v>#REF!</v>
      </c>
      <c r="HF15" t="e">
        <f>AND(#REF!,"AAAAAE/3v9U=")</f>
        <v>#REF!</v>
      </c>
      <c r="HG15" t="e">
        <f>AND(#REF!,"AAAAAE/3v9Y=")</f>
        <v>#REF!</v>
      </c>
      <c r="HH15" t="e">
        <f>AND(#REF!,"AAAAAE/3v9c=")</f>
        <v>#REF!</v>
      </c>
      <c r="HI15" t="e">
        <f>AND(#REF!,"AAAAAE/3v9g=")</f>
        <v>#REF!</v>
      </c>
      <c r="HJ15" t="e">
        <f>AND(#REF!,"AAAAAE/3v9k=")</f>
        <v>#REF!</v>
      </c>
      <c r="HK15" t="e">
        <f>AND(#REF!,"AAAAAE/3v9o=")</f>
        <v>#REF!</v>
      </c>
      <c r="HL15" t="e">
        <f>AND(#REF!,"AAAAAE/3v9s=")</f>
        <v>#REF!</v>
      </c>
      <c r="HM15" t="e">
        <f>AND(#REF!,"AAAAAE/3v9w=")</f>
        <v>#REF!</v>
      </c>
      <c r="HN15" t="e">
        <f>AND(#REF!,"AAAAAE/3v90=")</f>
        <v>#REF!</v>
      </c>
      <c r="HO15" t="e">
        <f>AND(#REF!,"AAAAAE/3v94=")</f>
        <v>#REF!</v>
      </c>
      <c r="HP15" t="e">
        <f>AND(#REF!,"AAAAAE/3v98=")</f>
        <v>#REF!</v>
      </c>
      <c r="HQ15" t="e">
        <f>AND(#REF!,"AAAAAE/3v+A=")</f>
        <v>#REF!</v>
      </c>
      <c r="HR15" t="e">
        <f>AND(#REF!,"AAAAAE/3v+E=")</f>
        <v>#REF!</v>
      </c>
      <c r="HS15" t="e">
        <f>IF(#REF!,"AAAAAE/3v+I=",0)</f>
        <v>#REF!</v>
      </c>
      <c r="HT15" t="e">
        <f>AND(#REF!,"AAAAAE/3v+M=")</f>
        <v>#REF!</v>
      </c>
      <c r="HU15" t="e">
        <f>AND(#REF!,"AAAAAE/3v+Q=")</f>
        <v>#REF!</v>
      </c>
      <c r="HV15" t="e">
        <f>AND(#REF!,"AAAAAE/3v+U=")</f>
        <v>#REF!</v>
      </c>
      <c r="HW15" t="e">
        <f>AND(#REF!,"AAAAAE/3v+Y=")</f>
        <v>#REF!</v>
      </c>
      <c r="HX15" t="e">
        <f>AND(#REF!,"AAAAAE/3v+c=")</f>
        <v>#REF!</v>
      </c>
      <c r="HY15" t="e">
        <f>AND(#REF!,"AAAAAE/3v+g=")</f>
        <v>#REF!</v>
      </c>
      <c r="HZ15" t="e">
        <f>AND(#REF!,"AAAAAE/3v+k=")</f>
        <v>#REF!</v>
      </c>
      <c r="IA15" t="e">
        <f>AND(#REF!,"AAAAAE/3v+o=")</f>
        <v>#REF!</v>
      </c>
      <c r="IB15" t="e">
        <f>AND(#REF!,"AAAAAE/3v+s=")</f>
        <v>#REF!</v>
      </c>
      <c r="IC15" t="e">
        <f>AND(#REF!,"AAAAAE/3v+w=")</f>
        <v>#REF!</v>
      </c>
      <c r="ID15" t="e">
        <f>AND(#REF!,"AAAAAE/3v+0=")</f>
        <v>#REF!</v>
      </c>
      <c r="IE15" t="e">
        <f>AND(#REF!,"AAAAAE/3v+4=")</f>
        <v>#REF!</v>
      </c>
      <c r="IF15" t="e">
        <f>AND(#REF!,"AAAAAE/3v+8=")</f>
        <v>#REF!</v>
      </c>
      <c r="IG15" t="e">
        <f>AND(#REF!,"AAAAAE/3v/A=")</f>
        <v>#REF!</v>
      </c>
      <c r="IH15" t="e">
        <f>IF(#REF!,"AAAAAE/3v/E=",0)</f>
        <v>#REF!</v>
      </c>
      <c r="II15" t="e">
        <f>AND(#REF!,"AAAAAE/3v/I=")</f>
        <v>#REF!</v>
      </c>
      <c r="IJ15" t="e">
        <f>AND(#REF!,"AAAAAE/3v/M=")</f>
        <v>#REF!</v>
      </c>
      <c r="IK15" t="e">
        <f>AND(#REF!,"AAAAAE/3v/Q=")</f>
        <v>#REF!</v>
      </c>
      <c r="IL15" t="e">
        <f>AND(#REF!,"AAAAAE/3v/U=")</f>
        <v>#REF!</v>
      </c>
      <c r="IM15" t="e">
        <f>AND(#REF!,"AAAAAE/3v/Y=")</f>
        <v>#REF!</v>
      </c>
      <c r="IN15" t="e">
        <f>AND(#REF!,"AAAAAE/3v/c=")</f>
        <v>#REF!</v>
      </c>
      <c r="IO15" t="e">
        <f>AND(#REF!,"AAAAAE/3v/g=")</f>
        <v>#REF!</v>
      </c>
      <c r="IP15" t="e">
        <f>AND(#REF!,"AAAAAE/3v/k=")</f>
        <v>#REF!</v>
      </c>
      <c r="IQ15" t="e">
        <f>AND(#REF!,"AAAAAE/3v/o=")</f>
        <v>#REF!</v>
      </c>
      <c r="IR15" t="e">
        <f>AND(#REF!,"AAAAAE/3v/s=")</f>
        <v>#REF!</v>
      </c>
      <c r="IS15" t="e">
        <f>AND(#REF!,"AAAAAE/3v/w=")</f>
        <v>#REF!</v>
      </c>
      <c r="IT15" t="e">
        <f>AND(#REF!,"AAAAAE/3v/0=")</f>
        <v>#REF!</v>
      </c>
      <c r="IU15" t="e">
        <f>AND(#REF!,"AAAAAE/3v/4=")</f>
        <v>#REF!</v>
      </c>
      <c r="IV15" t="e">
        <f>AND(#REF!,"AAAAAE/3v/8=")</f>
        <v>#REF!</v>
      </c>
    </row>
    <row r="16" spans="1:256">
      <c r="A16" t="e">
        <f>IF(#REF!,"AAAAAHd39QA=",0)</f>
        <v>#REF!</v>
      </c>
      <c r="B16" t="e">
        <f>AND(#REF!,"AAAAAHd39QE=")</f>
        <v>#REF!</v>
      </c>
      <c r="C16" t="e">
        <f>AND(#REF!,"AAAAAHd39QI=")</f>
        <v>#REF!</v>
      </c>
      <c r="D16" t="e">
        <f>AND(#REF!,"AAAAAHd39QM=")</f>
        <v>#REF!</v>
      </c>
      <c r="E16" t="e">
        <f>AND(#REF!,"AAAAAHd39QQ=")</f>
        <v>#REF!</v>
      </c>
      <c r="F16" t="e">
        <f>AND(#REF!,"AAAAAHd39QU=")</f>
        <v>#REF!</v>
      </c>
      <c r="G16" t="e">
        <f>AND(#REF!,"AAAAAHd39QY=")</f>
        <v>#REF!</v>
      </c>
      <c r="H16" t="e">
        <f>AND(#REF!,"AAAAAHd39Qc=")</f>
        <v>#REF!</v>
      </c>
      <c r="I16" t="e">
        <f>AND(#REF!,"AAAAAHd39Qg=")</f>
        <v>#REF!</v>
      </c>
      <c r="J16" t="e">
        <f>AND(#REF!,"AAAAAHd39Qk=")</f>
        <v>#REF!</v>
      </c>
      <c r="K16" t="e">
        <f>AND(#REF!,"AAAAAHd39Qo=")</f>
        <v>#REF!</v>
      </c>
      <c r="L16" t="e">
        <f>AND(#REF!,"AAAAAHd39Qs=")</f>
        <v>#REF!</v>
      </c>
      <c r="M16" t="e">
        <f>AND(#REF!,"AAAAAHd39Qw=")</f>
        <v>#REF!</v>
      </c>
      <c r="N16" t="e">
        <f>AND(#REF!,"AAAAAHd39Q0=")</f>
        <v>#REF!</v>
      </c>
      <c r="O16" t="e">
        <f>AND(#REF!,"AAAAAHd39Q4=")</f>
        <v>#REF!</v>
      </c>
      <c r="P16" t="e">
        <f>IF(#REF!,"AAAAAHd39Q8=",0)</f>
        <v>#REF!</v>
      </c>
      <c r="Q16" t="e">
        <f>AND(#REF!,"AAAAAHd39RA=")</f>
        <v>#REF!</v>
      </c>
      <c r="R16" t="e">
        <f>AND(#REF!,"AAAAAHd39RE=")</f>
        <v>#REF!</v>
      </c>
      <c r="S16" t="e">
        <f>AND(#REF!,"AAAAAHd39RI=")</f>
        <v>#REF!</v>
      </c>
      <c r="T16" t="e">
        <f>AND(#REF!,"AAAAAHd39RM=")</f>
        <v>#REF!</v>
      </c>
      <c r="U16" t="e">
        <f>AND(#REF!,"AAAAAHd39RQ=")</f>
        <v>#REF!</v>
      </c>
      <c r="V16" t="e">
        <f>AND(#REF!,"AAAAAHd39RU=")</f>
        <v>#REF!</v>
      </c>
      <c r="W16" t="e">
        <f>AND(#REF!,"AAAAAHd39RY=")</f>
        <v>#REF!</v>
      </c>
      <c r="X16" t="e">
        <f>AND(#REF!,"AAAAAHd39Rc=")</f>
        <v>#REF!</v>
      </c>
      <c r="Y16" t="e">
        <f>AND(#REF!,"AAAAAHd39Rg=")</f>
        <v>#REF!</v>
      </c>
      <c r="Z16" t="e">
        <f>AND(#REF!,"AAAAAHd39Rk=")</f>
        <v>#REF!</v>
      </c>
      <c r="AA16" t="e">
        <f>AND(#REF!,"AAAAAHd39Ro=")</f>
        <v>#REF!</v>
      </c>
      <c r="AB16" t="e">
        <f>AND(#REF!,"AAAAAHd39Rs=")</f>
        <v>#REF!</v>
      </c>
      <c r="AC16" t="e">
        <f>AND(#REF!,"AAAAAHd39Rw=")</f>
        <v>#REF!</v>
      </c>
      <c r="AD16" t="e">
        <f>AND(#REF!,"AAAAAHd39R0=")</f>
        <v>#REF!</v>
      </c>
      <c r="AE16" t="e">
        <f>IF(#REF!,"AAAAAHd39R4=",0)</f>
        <v>#REF!</v>
      </c>
      <c r="AF16" t="e">
        <f>AND(#REF!,"AAAAAHd39R8=")</f>
        <v>#REF!</v>
      </c>
      <c r="AG16" t="e">
        <f>AND(#REF!,"AAAAAHd39SA=")</f>
        <v>#REF!</v>
      </c>
      <c r="AH16" t="e">
        <f>AND(#REF!,"AAAAAHd39SE=")</f>
        <v>#REF!</v>
      </c>
      <c r="AI16" t="e">
        <f>AND(#REF!,"AAAAAHd39SI=")</f>
        <v>#REF!</v>
      </c>
      <c r="AJ16" t="e">
        <f>AND(#REF!,"AAAAAHd39SM=")</f>
        <v>#REF!</v>
      </c>
      <c r="AK16" t="e">
        <f>AND(#REF!,"AAAAAHd39SQ=")</f>
        <v>#REF!</v>
      </c>
      <c r="AL16" t="e">
        <f>AND(#REF!,"AAAAAHd39SU=")</f>
        <v>#REF!</v>
      </c>
      <c r="AM16" t="e">
        <f>AND(#REF!,"AAAAAHd39SY=")</f>
        <v>#REF!</v>
      </c>
      <c r="AN16" t="e">
        <f>AND(#REF!,"AAAAAHd39Sc=")</f>
        <v>#REF!</v>
      </c>
      <c r="AO16" t="e">
        <f>AND(#REF!,"AAAAAHd39Sg=")</f>
        <v>#REF!</v>
      </c>
      <c r="AP16" t="e">
        <f>AND(#REF!,"AAAAAHd39Sk=")</f>
        <v>#REF!</v>
      </c>
      <c r="AQ16" t="e">
        <f>AND(#REF!,"AAAAAHd39So=")</f>
        <v>#REF!</v>
      </c>
      <c r="AR16" t="e">
        <f>AND(#REF!,"AAAAAHd39Ss=")</f>
        <v>#REF!</v>
      </c>
      <c r="AS16" t="e">
        <f>AND(#REF!,"AAAAAHd39Sw=")</f>
        <v>#REF!</v>
      </c>
      <c r="AT16" t="e">
        <f>IF(#REF!,"AAAAAHd39S0=",0)</f>
        <v>#REF!</v>
      </c>
      <c r="AU16" t="e">
        <f>AND(#REF!,"AAAAAHd39S4=")</f>
        <v>#REF!</v>
      </c>
      <c r="AV16" t="e">
        <f>AND(#REF!,"AAAAAHd39S8=")</f>
        <v>#REF!</v>
      </c>
      <c r="AW16" t="e">
        <f>AND(#REF!,"AAAAAHd39TA=")</f>
        <v>#REF!</v>
      </c>
      <c r="AX16" t="e">
        <f>AND(#REF!,"AAAAAHd39TE=")</f>
        <v>#REF!</v>
      </c>
      <c r="AY16" t="e">
        <f>AND(#REF!,"AAAAAHd39TI=")</f>
        <v>#REF!</v>
      </c>
      <c r="AZ16" t="e">
        <f>AND(#REF!,"AAAAAHd39TM=")</f>
        <v>#REF!</v>
      </c>
      <c r="BA16" t="e">
        <f>AND(#REF!,"AAAAAHd39TQ=")</f>
        <v>#REF!</v>
      </c>
      <c r="BB16" t="e">
        <f>AND(#REF!,"AAAAAHd39TU=")</f>
        <v>#REF!</v>
      </c>
      <c r="BC16" t="e">
        <f>AND(#REF!,"AAAAAHd39TY=")</f>
        <v>#REF!</v>
      </c>
      <c r="BD16" t="e">
        <f>AND(#REF!,"AAAAAHd39Tc=")</f>
        <v>#REF!</v>
      </c>
      <c r="BE16" t="e">
        <f>AND(#REF!,"AAAAAHd39Tg=")</f>
        <v>#REF!</v>
      </c>
      <c r="BF16" t="e">
        <f>AND(#REF!,"AAAAAHd39Tk=")</f>
        <v>#REF!</v>
      </c>
      <c r="BG16" t="e">
        <f>AND(#REF!,"AAAAAHd39To=")</f>
        <v>#REF!</v>
      </c>
      <c r="BH16" t="e">
        <f>AND(#REF!,"AAAAAHd39Ts=")</f>
        <v>#REF!</v>
      </c>
      <c r="BI16" t="e">
        <f>IF(#REF!,"AAAAAHd39Tw=",0)</f>
        <v>#REF!</v>
      </c>
      <c r="BJ16" t="e">
        <f>AND(#REF!,"AAAAAHd39T0=")</f>
        <v>#REF!</v>
      </c>
      <c r="BK16" t="e">
        <f>AND(#REF!,"AAAAAHd39T4=")</f>
        <v>#REF!</v>
      </c>
      <c r="BL16" t="e">
        <f>AND(#REF!,"AAAAAHd39T8=")</f>
        <v>#REF!</v>
      </c>
      <c r="BM16" t="e">
        <f>AND(#REF!,"AAAAAHd39UA=")</f>
        <v>#REF!</v>
      </c>
      <c r="BN16" t="e">
        <f>AND(#REF!,"AAAAAHd39UE=")</f>
        <v>#REF!</v>
      </c>
      <c r="BO16" t="e">
        <f>AND(#REF!,"AAAAAHd39UI=")</f>
        <v>#REF!</v>
      </c>
      <c r="BP16" t="e">
        <f>AND(#REF!,"AAAAAHd39UM=")</f>
        <v>#REF!</v>
      </c>
      <c r="BQ16" t="e">
        <f>AND(#REF!,"AAAAAHd39UQ=")</f>
        <v>#REF!</v>
      </c>
      <c r="BR16" t="e">
        <f>AND(#REF!,"AAAAAHd39UU=")</f>
        <v>#REF!</v>
      </c>
      <c r="BS16" t="e">
        <f>AND(#REF!,"AAAAAHd39UY=")</f>
        <v>#REF!</v>
      </c>
      <c r="BT16" t="e">
        <f>AND(#REF!,"AAAAAHd39Uc=")</f>
        <v>#REF!</v>
      </c>
      <c r="BU16" t="e">
        <f>AND(#REF!,"AAAAAHd39Ug=")</f>
        <v>#REF!</v>
      </c>
      <c r="BV16" t="e">
        <f>AND(#REF!,"AAAAAHd39Uk=")</f>
        <v>#REF!</v>
      </c>
      <c r="BW16" t="e">
        <f>AND(#REF!,"AAAAAHd39Uo=")</f>
        <v>#REF!</v>
      </c>
      <c r="BX16" t="e">
        <f>IF(#REF!,"AAAAAHd39Us=",0)</f>
        <v>#REF!</v>
      </c>
      <c r="BY16" t="e">
        <f>AND(#REF!,"AAAAAHd39Uw=")</f>
        <v>#REF!</v>
      </c>
      <c r="BZ16" t="e">
        <f>AND(#REF!,"AAAAAHd39U0=")</f>
        <v>#REF!</v>
      </c>
      <c r="CA16" t="e">
        <f>AND(#REF!,"AAAAAHd39U4=")</f>
        <v>#REF!</v>
      </c>
      <c r="CB16" t="e">
        <f>AND(#REF!,"AAAAAHd39U8=")</f>
        <v>#REF!</v>
      </c>
      <c r="CC16" t="e">
        <f>AND(#REF!,"AAAAAHd39VA=")</f>
        <v>#REF!</v>
      </c>
      <c r="CD16" t="e">
        <f>AND(#REF!,"AAAAAHd39VE=")</f>
        <v>#REF!</v>
      </c>
      <c r="CE16" t="e">
        <f>AND(#REF!,"AAAAAHd39VI=")</f>
        <v>#REF!</v>
      </c>
      <c r="CF16" t="e">
        <f>AND(#REF!,"AAAAAHd39VM=")</f>
        <v>#REF!</v>
      </c>
      <c r="CG16" t="e">
        <f>AND(#REF!,"AAAAAHd39VQ=")</f>
        <v>#REF!</v>
      </c>
      <c r="CH16" t="e">
        <f>AND(#REF!,"AAAAAHd39VU=")</f>
        <v>#REF!</v>
      </c>
      <c r="CI16" t="e">
        <f>AND(#REF!,"AAAAAHd39VY=")</f>
        <v>#REF!</v>
      </c>
      <c r="CJ16" t="e">
        <f>AND(#REF!,"AAAAAHd39Vc=")</f>
        <v>#REF!</v>
      </c>
      <c r="CK16" t="e">
        <f>AND(#REF!,"AAAAAHd39Vg=")</f>
        <v>#REF!</v>
      </c>
      <c r="CL16" t="e">
        <f>AND(#REF!,"AAAAAHd39Vk=")</f>
        <v>#REF!</v>
      </c>
      <c r="CM16" t="e">
        <f>IF(#REF!,"AAAAAHd39Vo=",0)</f>
        <v>#REF!</v>
      </c>
      <c r="CN16" t="e">
        <f>AND(#REF!,"AAAAAHd39Vs=")</f>
        <v>#REF!</v>
      </c>
      <c r="CO16" t="e">
        <f>AND(#REF!,"AAAAAHd39Vw=")</f>
        <v>#REF!</v>
      </c>
      <c r="CP16" t="e">
        <f>AND(#REF!,"AAAAAHd39V0=")</f>
        <v>#REF!</v>
      </c>
      <c r="CQ16" t="e">
        <f>AND(#REF!,"AAAAAHd39V4=")</f>
        <v>#REF!</v>
      </c>
      <c r="CR16" t="e">
        <f>AND(#REF!,"AAAAAHd39V8=")</f>
        <v>#REF!</v>
      </c>
      <c r="CS16" t="e">
        <f>AND(#REF!,"AAAAAHd39WA=")</f>
        <v>#REF!</v>
      </c>
      <c r="CT16" t="e">
        <f>AND(#REF!,"AAAAAHd39WE=")</f>
        <v>#REF!</v>
      </c>
      <c r="CU16" t="e">
        <f>AND(#REF!,"AAAAAHd39WI=")</f>
        <v>#REF!</v>
      </c>
      <c r="CV16" t="e">
        <f>AND(#REF!,"AAAAAHd39WM=")</f>
        <v>#REF!</v>
      </c>
      <c r="CW16" t="e">
        <f>AND(#REF!,"AAAAAHd39WQ=")</f>
        <v>#REF!</v>
      </c>
      <c r="CX16" t="e">
        <f>AND(#REF!,"AAAAAHd39WU=")</f>
        <v>#REF!</v>
      </c>
      <c r="CY16" t="e">
        <f>AND(#REF!,"AAAAAHd39WY=")</f>
        <v>#REF!</v>
      </c>
      <c r="CZ16" t="e">
        <f>AND(#REF!,"AAAAAHd39Wc=")</f>
        <v>#REF!</v>
      </c>
      <c r="DA16" t="e">
        <f>AND(#REF!,"AAAAAHd39Wg=")</f>
        <v>#REF!</v>
      </c>
      <c r="DB16" t="e">
        <f>IF(#REF!,"AAAAAHd39Wk=",0)</f>
        <v>#REF!</v>
      </c>
      <c r="DC16" t="e">
        <f>AND(#REF!,"AAAAAHd39Wo=")</f>
        <v>#REF!</v>
      </c>
      <c r="DD16" t="e">
        <f>AND(#REF!,"AAAAAHd39Ws=")</f>
        <v>#REF!</v>
      </c>
      <c r="DE16" t="e">
        <f>AND(#REF!,"AAAAAHd39Ww=")</f>
        <v>#REF!</v>
      </c>
      <c r="DF16" t="e">
        <f>AND(#REF!,"AAAAAHd39W0=")</f>
        <v>#REF!</v>
      </c>
      <c r="DG16" t="e">
        <f>AND(#REF!,"AAAAAHd39W4=")</f>
        <v>#REF!</v>
      </c>
      <c r="DH16" t="e">
        <f>AND(#REF!,"AAAAAHd39W8=")</f>
        <v>#REF!</v>
      </c>
      <c r="DI16" t="e">
        <f>AND(#REF!,"AAAAAHd39XA=")</f>
        <v>#REF!</v>
      </c>
      <c r="DJ16" t="e">
        <f>AND(#REF!,"AAAAAHd39XE=")</f>
        <v>#REF!</v>
      </c>
      <c r="DK16" t="e">
        <f>AND(#REF!,"AAAAAHd39XI=")</f>
        <v>#REF!</v>
      </c>
      <c r="DL16" t="e">
        <f>AND(#REF!,"AAAAAHd39XM=")</f>
        <v>#REF!</v>
      </c>
      <c r="DM16" t="e">
        <f>AND(#REF!,"AAAAAHd39XQ=")</f>
        <v>#REF!</v>
      </c>
      <c r="DN16" t="e">
        <f>AND(#REF!,"AAAAAHd39XU=")</f>
        <v>#REF!</v>
      </c>
      <c r="DO16" t="e">
        <f>AND(#REF!,"AAAAAHd39XY=")</f>
        <v>#REF!</v>
      </c>
      <c r="DP16" t="e">
        <f>AND(#REF!,"AAAAAHd39Xc=")</f>
        <v>#REF!</v>
      </c>
      <c r="DQ16" t="e">
        <f>IF(#REF!,"AAAAAHd39Xg=",0)</f>
        <v>#REF!</v>
      </c>
      <c r="DR16" t="e">
        <f>AND(#REF!,"AAAAAHd39Xk=")</f>
        <v>#REF!</v>
      </c>
      <c r="DS16" t="e">
        <f>AND(#REF!,"AAAAAHd39Xo=")</f>
        <v>#REF!</v>
      </c>
      <c r="DT16" t="e">
        <f>AND(#REF!,"AAAAAHd39Xs=")</f>
        <v>#REF!</v>
      </c>
      <c r="DU16" t="e">
        <f>AND(#REF!,"AAAAAHd39Xw=")</f>
        <v>#REF!</v>
      </c>
      <c r="DV16" t="e">
        <f>AND(#REF!,"AAAAAHd39X0=")</f>
        <v>#REF!</v>
      </c>
      <c r="DW16" t="e">
        <f>AND(#REF!,"AAAAAHd39X4=")</f>
        <v>#REF!</v>
      </c>
      <c r="DX16" t="e">
        <f>AND(#REF!,"AAAAAHd39X8=")</f>
        <v>#REF!</v>
      </c>
      <c r="DY16" t="e">
        <f>AND(#REF!,"AAAAAHd39YA=")</f>
        <v>#REF!</v>
      </c>
      <c r="DZ16" t="e">
        <f>AND(#REF!,"AAAAAHd39YE=")</f>
        <v>#REF!</v>
      </c>
      <c r="EA16" t="e">
        <f>AND(#REF!,"AAAAAHd39YI=")</f>
        <v>#REF!</v>
      </c>
      <c r="EB16" t="e">
        <f>AND(#REF!,"AAAAAHd39YM=")</f>
        <v>#REF!</v>
      </c>
      <c r="EC16" t="e">
        <f>AND(#REF!,"AAAAAHd39YQ=")</f>
        <v>#REF!</v>
      </c>
      <c r="ED16" t="e">
        <f>AND(#REF!,"AAAAAHd39YU=")</f>
        <v>#REF!</v>
      </c>
      <c r="EE16" t="e">
        <f>AND(#REF!,"AAAAAHd39YY=")</f>
        <v>#REF!</v>
      </c>
      <c r="EF16" t="e">
        <f>IF(#REF!,"AAAAAHd39Yc=",0)</f>
        <v>#REF!</v>
      </c>
      <c r="EG16" t="e">
        <f>AND(#REF!,"AAAAAHd39Yg=")</f>
        <v>#REF!</v>
      </c>
      <c r="EH16" t="e">
        <f>AND(#REF!,"AAAAAHd39Yk=")</f>
        <v>#REF!</v>
      </c>
      <c r="EI16" t="e">
        <f>AND(#REF!,"AAAAAHd39Yo=")</f>
        <v>#REF!</v>
      </c>
      <c r="EJ16" t="e">
        <f>AND(#REF!,"AAAAAHd39Ys=")</f>
        <v>#REF!</v>
      </c>
      <c r="EK16" t="e">
        <f>AND(#REF!,"AAAAAHd39Yw=")</f>
        <v>#REF!</v>
      </c>
      <c r="EL16" t="e">
        <f>AND(#REF!,"AAAAAHd39Y0=")</f>
        <v>#REF!</v>
      </c>
      <c r="EM16" t="e">
        <f>AND(#REF!,"AAAAAHd39Y4=")</f>
        <v>#REF!</v>
      </c>
      <c r="EN16" t="e">
        <f>AND(#REF!,"AAAAAHd39Y8=")</f>
        <v>#REF!</v>
      </c>
      <c r="EO16" t="e">
        <f>AND(#REF!,"AAAAAHd39ZA=")</f>
        <v>#REF!</v>
      </c>
      <c r="EP16" t="e">
        <f>AND(#REF!,"AAAAAHd39ZE=")</f>
        <v>#REF!</v>
      </c>
      <c r="EQ16" t="e">
        <f>AND(#REF!,"AAAAAHd39ZI=")</f>
        <v>#REF!</v>
      </c>
      <c r="ER16" t="e">
        <f>AND(#REF!,"AAAAAHd39ZM=")</f>
        <v>#REF!</v>
      </c>
      <c r="ES16" t="e">
        <f>AND(#REF!,"AAAAAHd39ZQ=")</f>
        <v>#REF!</v>
      </c>
      <c r="ET16" t="e">
        <f>AND(#REF!,"AAAAAHd39ZU=")</f>
        <v>#REF!</v>
      </c>
      <c r="EU16" t="e">
        <f>IF(#REF!,"AAAAAHd39ZY=",0)</f>
        <v>#REF!</v>
      </c>
      <c r="EV16" t="e">
        <f>AND(#REF!,"AAAAAHd39Zc=")</f>
        <v>#REF!</v>
      </c>
      <c r="EW16" t="e">
        <f>AND(#REF!,"AAAAAHd39Zg=")</f>
        <v>#REF!</v>
      </c>
      <c r="EX16" t="e">
        <f>AND(#REF!,"AAAAAHd39Zk=")</f>
        <v>#REF!</v>
      </c>
      <c r="EY16" t="e">
        <f>AND(#REF!,"AAAAAHd39Zo=")</f>
        <v>#REF!</v>
      </c>
      <c r="EZ16" t="e">
        <f>AND(#REF!,"AAAAAHd39Zs=")</f>
        <v>#REF!</v>
      </c>
      <c r="FA16" t="e">
        <f>AND(#REF!,"AAAAAHd39Zw=")</f>
        <v>#REF!</v>
      </c>
      <c r="FB16" t="e">
        <f>AND(#REF!,"AAAAAHd39Z0=")</f>
        <v>#REF!</v>
      </c>
      <c r="FC16" t="e">
        <f>AND(#REF!,"AAAAAHd39Z4=")</f>
        <v>#REF!</v>
      </c>
      <c r="FD16" t="e">
        <f>AND(#REF!,"AAAAAHd39Z8=")</f>
        <v>#REF!</v>
      </c>
      <c r="FE16" t="e">
        <f>AND(#REF!,"AAAAAHd39aA=")</f>
        <v>#REF!</v>
      </c>
      <c r="FF16" t="e">
        <f>AND(#REF!,"AAAAAHd39aE=")</f>
        <v>#REF!</v>
      </c>
      <c r="FG16" t="e">
        <f>AND(#REF!,"AAAAAHd39aI=")</f>
        <v>#REF!</v>
      </c>
      <c r="FH16" t="e">
        <f>AND(#REF!,"AAAAAHd39aM=")</f>
        <v>#REF!</v>
      </c>
      <c r="FI16" t="e">
        <f>AND(#REF!,"AAAAAHd39aQ=")</f>
        <v>#REF!</v>
      </c>
      <c r="FJ16" t="e">
        <f>IF(#REF!,"AAAAAHd39aU=",0)</f>
        <v>#REF!</v>
      </c>
      <c r="FK16" t="e">
        <f>AND(#REF!,"AAAAAHd39aY=")</f>
        <v>#REF!</v>
      </c>
      <c r="FL16" t="e">
        <f>AND(#REF!,"AAAAAHd39ac=")</f>
        <v>#REF!</v>
      </c>
      <c r="FM16" t="e">
        <f>AND(#REF!,"AAAAAHd39ag=")</f>
        <v>#REF!</v>
      </c>
      <c r="FN16" t="e">
        <f>AND(#REF!,"AAAAAHd39ak=")</f>
        <v>#REF!</v>
      </c>
      <c r="FO16" t="e">
        <f>AND(#REF!,"AAAAAHd39ao=")</f>
        <v>#REF!</v>
      </c>
      <c r="FP16" t="e">
        <f>AND(#REF!,"AAAAAHd39as=")</f>
        <v>#REF!</v>
      </c>
      <c r="FQ16" t="e">
        <f>AND(#REF!,"AAAAAHd39aw=")</f>
        <v>#REF!</v>
      </c>
      <c r="FR16" t="e">
        <f>AND(#REF!,"AAAAAHd39a0=")</f>
        <v>#REF!</v>
      </c>
      <c r="FS16" t="e">
        <f>AND(#REF!,"AAAAAHd39a4=")</f>
        <v>#REF!</v>
      </c>
      <c r="FT16" t="e">
        <f>AND(#REF!,"AAAAAHd39a8=")</f>
        <v>#REF!</v>
      </c>
      <c r="FU16" t="e">
        <f>AND(#REF!,"AAAAAHd39bA=")</f>
        <v>#REF!</v>
      </c>
      <c r="FV16" t="e">
        <f>AND(#REF!,"AAAAAHd39bE=")</f>
        <v>#REF!</v>
      </c>
      <c r="FW16" t="e">
        <f>AND(#REF!,"AAAAAHd39bI=")</f>
        <v>#REF!</v>
      </c>
      <c r="FX16" t="e">
        <f>AND(#REF!,"AAAAAHd39bM=")</f>
        <v>#REF!</v>
      </c>
      <c r="FY16" t="e">
        <f>IF(#REF!,"AAAAAHd39bQ=",0)</f>
        <v>#REF!</v>
      </c>
      <c r="FZ16" t="e">
        <f>AND(#REF!,"AAAAAHd39bU=")</f>
        <v>#REF!</v>
      </c>
      <c r="GA16" t="e">
        <f>AND(#REF!,"AAAAAHd39bY=")</f>
        <v>#REF!</v>
      </c>
      <c r="GB16" t="e">
        <f>AND(#REF!,"AAAAAHd39bc=")</f>
        <v>#REF!</v>
      </c>
      <c r="GC16" t="e">
        <f>AND(#REF!,"AAAAAHd39bg=")</f>
        <v>#REF!</v>
      </c>
      <c r="GD16" t="e">
        <f>AND(#REF!,"AAAAAHd39bk=")</f>
        <v>#REF!</v>
      </c>
      <c r="GE16" t="e">
        <f>AND(#REF!,"AAAAAHd39bo=")</f>
        <v>#REF!</v>
      </c>
      <c r="GF16" t="e">
        <f>AND(#REF!,"AAAAAHd39bs=")</f>
        <v>#REF!</v>
      </c>
      <c r="GG16" t="e">
        <f>AND(#REF!,"AAAAAHd39bw=")</f>
        <v>#REF!</v>
      </c>
      <c r="GH16" t="e">
        <f>AND(#REF!,"AAAAAHd39b0=")</f>
        <v>#REF!</v>
      </c>
      <c r="GI16" t="e">
        <f>AND(#REF!,"AAAAAHd39b4=")</f>
        <v>#REF!</v>
      </c>
      <c r="GJ16" t="e">
        <f>AND(#REF!,"AAAAAHd39b8=")</f>
        <v>#REF!</v>
      </c>
      <c r="GK16" t="e">
        <f>AND(#REF!,"AAAAAHd39cA=")</f>
        <v>#REF!</v>
      </c>
      <c r="GL16" t="e">
        <f>AND(#REF!,"AAAAAHd39cE=")</f>
        <v>#REF!</v>
      </c>
      <c r="GM16" t="e">
        <f>AND(#REF!,"AAAAAHd39cI=")</f>
        <v>#REF!</v>
      </c>
      <c r="GN16" t="e">
        <f>IF(#REF!,"AAAAAHd39cM=",0)</f>
        <v>#REF!</v>
      </c>
      <c r="GO16" t="e">
        <f>AND(#REF!,"AAAAAHd39cQ=")</f>
        <v>#REF!</v>
      </c>
      <c r="GP16" t="e">
        <f>AND(#REF!,"AAAAAHd39cU=")</f>
        <v>#REF!</v>
      </c>
      <c r="GQ16" t="e">
        <f>AND(#REF!,"AAAAAHd39cY=")</f>
        <v>#REF!</v>
      </c>
      <c r="GR16" t="e">
        <f>AND(#REF!,"AAAAAHd39cc=")</f>
        <v>#REF!</v>
      </c>
      <c r="GS16" t="e">
        <f>AND(#REF!,"AAAAAHd39cg=")</f>
        <v>#REF!</v>
      </c>
      <c r="GT16" t="e">
        <f>AND(#REF!,"AAAAAHd39ck=")</f>
        <v>#REF!</v>
      </c>
      <c r="GU16" t="e">
        <f>AND(#REF!,"AAAAAHd39co=")</f>
        <v>#REF!</v>
      </c>
      <c r="GV16" t="e">
        <f>AND(#REF!,"AAAAAHd39cs=")</f>
        <v>#REF!</v>
      </c>
      <c r="GW16" t="e">
        <f>AND(#REF!,"AAAAAHd39cw=")</f>
        <v>#REF!</v>
      </c>
      <c r="GX16" t="e">
        <f>AND(#REF!,"AAAAAHd39c0=")</f>
        <v>#REF!</v>
      </c>
      <c r="GY16" t="e">
        <f>AND(#REF!,"AAAAAHd39c4=")</f>
        <v>#REF!</v>
      </c>
      <c r="GZ16" t="e">
        <f>AND(#REF!,"AAAAAHd39c8=")</f>
        <v>#REF!</v>
      </c>
      <c r="HA16" t="e">
        <f>AND(#REF!,"AAAAAHd39dA=")</f>
        <v>#REF!</v>
      </c>
      <c r="HB16" t="e">
        <f>AND(#REF!,"AAAAAHd39dE=")</f>
        <v>#REF!</v>
      </c>
      <c r="HC16" t="e">
        <f>IF(#REF!,"AAAAAHd39dI=",0)</f>
        <v>#REF!</v>
      </c>
      <c r="HD16" t="e">
        <f>AND(#REF!,"AAAAAHd39dM=")</f>
        <v>#REF!</v>
      </c>
      <c r="HE16" t="e">
        <f>AND(#REF!,"AAAAAHd39dQ=")</f>
        <v>#REF!</v>
      </c>
      <c r="HF16" t="e">
        <f>AND(#REF!,"AAAAAHd39dU=")</f>
        <v>#REF!</v>
      </c>
      <c r="HG16" t="e">
        <f>AND(#REF!,"AAAAAHd39dY=")</f>
        <v>#REF!</v>
      </c>
      <c r="HH16" t="e">
        <f>AND(#REF!,"AAAAAHd39dc=")</f>
        <v>#REF!</v>
      </c>
      <c r="HI16" t="e">
        <f>AND(#REF!,"AAAAAHd39dg=")</f>
        <v>#REF!</v>
      </c>
      <c r="HJ16" t="e">
        <f>AND(#REF!,"AAAAAHd39dk=")</f>
        <v>#REF!</v>
      </c>
      <c r="HK16" t="e">
        <f>AND(#REF!,"AAAAAHd39do=")</f>
        <v>#REF!</v>
      </c>
      <c r="HL16" t="e">
        <f>AND(#REF!,"AAAAAHd39ds=")</f>
        <v>#REF!</v>
      </c>
      <c r="HM16" t="e">
        <f>AND(#REF!,"AAAAAHd39dw=")</f>
        <v>#REF!</v>
      </c>
      <c r="HN16" t="e">
        <f>AND(#REF!,"AAAAAHd39d0=")</f>
        <v>#REF!</v>
      </c>
      <c r="HO16" t="e">
        <f>AND(#REF!,"AAAAAHd39d4=")</f>
        <v>#REF!</v>
      </c>
      <c r="HP16" t="e">
        <f>AND(#REF!,"AAAAAHd39d8=")</f>
        <v>#REF!</v>
      </c>
      <c r="HQ16" t="e">
        <f>AND(#REF!,"AAAAAHd39eA=")</f>
        <v>#REF!</v>
      </c>
      <c r="HR16" t="e">
        <f>IF(#REF!,"AAAAAHd39eE=",0)</f>
        <v>#REF!</v>
      </c>
      <c r="HS16" t="e">
        <f>AND(#REF!,"AAAAAHd39eI=")</f>
        <v>#REF!</v>
      </c>
      <c r="HT16" t="e">
        <f>AND(#REF!,"AAAAAHd39eM=")</f>
        <v>#REF!</v>
      </c>
      <c r="HU16" t="e">
        <f>AND(#REF!,"AAAAAHd39eQ=")</f>
        <v>#REF!</v>
      </c>
      <c r="HV16" t="e">
        <f>AND(#REF!,"AAAAAHd39eU=")</f>
        <v>#REF!</v>
      </c>
      <c r="HW16" t="e">
        <f>AND(#REF!,"AAAAAHd39eY=")</f>
        <v>#REF!</v>
      </c>
      <c r="HX16" t="e">
        <f>AND(#REF!,"AAAAAHd39ec=")</f>
        <v>#REF!</v>
      </c>
      <c r="HY16" t="e">
        <f>AND(#REF!,"AAAAAHd39eg=")</f>
        <v>#REF!</v>
      </c>
      <c r="HZ16" t="e">
        <f>AND(#REF!,"AAAAAHd39ek=")</f>
        <v>#REF!</v>
      </c>
      <c r="IA16" t="e">
        <f>AND(#REF!,"AAAAAHd39eo=")</f>
        <v>#REF!</v>
      </c>
      <c r="IB16" t="e">
        <f>AND(#REF!,"AAAAAHd39es=")</f>
        <v>#REF!</v>
      </c>
      <c r="IC16" t="e">
        <f>AND(#REF!,"AAAAAHd39ew=")</f>
        <v>#REF!</v>
      </c>
      <c r="ID16" t="e">
        <f>AND(#REF!,"AAAAAHd39e0=")</f>
        <v>#REF!</v>
      </c>
      <c r="IE16" t="e">
        <f>AND(#REF!,"AAAAAHd39e4=")</f>
        <v>#REF!</v>
      </c>
      <c r="IF16" t="e">
        <f>AND(#REF!,"AAAAAHd39e8=")</f>
        <v>#REF!</v>
      </c>
      <c r="IG16" t="e">
        <f>IF(#REF!,"AAAAAHd39fA=",0)</f>
        <v>#REF!</v>
      </c>
      <c r="IH16" t="e">
        <f>AND(#REF!,"AAAAAHd39fE=")</f>
        <v>#REF!</v>
      </c>
      <c r="II16" t="e">
        <f>AND(#REF!,"AAAAAHd39fI=")</f>
        <v>#REF!</v>
      </c>
      <c r="IJ16" t="e">
        <f>AND(#REF!,"AAAAAHd39fM=")</f>
        <v>#REF!</v>
      </c>
      <c r="IK16" t="e">
        <f>AND(#REF!,"AAAAAHd39fQ=")</f>
        <v>#REF!</v>
      </c>
      <c r="IL16" t="e">
        <f>AND(#REF!,"AAAAAHd39fU=")</f>
        <v>#REF!</v>
      </c>
      <c r="IM16" t="e">
        <f>AND(#REF!,"AAAAAHd39fY=")</f>
        <v>#REF!</v>
      </c>
      <c r="IN16" t="e">
        <f>AND(#REF!,"AAAAAHd39fc=")</f>
        <v>#REF!</v>
      </c>
      <c r="IO16" t="e">
        <f>AND(#REF!,"AAAAAHd39fg=")</f>
        <v>#REF!</v>
      </c>
      <c r="IP16" t="e">
        <f>AND(#REF!,"AAAAAHd39fk=")</f>
        <v>#REF!</v>
      </c>
      <c r="IQ16" t="e">
        <f>AND(#REF!,"AAAAAHd39fo=")</f>
        <v>#REF!</v>
      </c>
      <c r="IR16" t="e">
        <f>AND(#REF!,"AAAAAHd39fs=")</f>
        <v>#REF!</v>
      </c>
      <c r="IS16" t="e">
        <f>AND(#REF!,"AAAAAHd39fw=")</f>
        <v>#REF!</v>
      </c>
      <c r="IT16" t="e">
        <f>AND(#REF!,"AAAAAHd39f0=")</f>
        <v>#REF!</v>
      </c>
      <c r="IU16" t="e">
        <f>AND(#REF!,"AAAAAHd39f4=")</f>
        <v>#REF!</v>
      </c>
      <c r="IV16" t="e">
        <f>IF(#REF!,"AAAAAHd39f8=",0)</f>
        <v>#REF!</v>
      </c>
    </row>
    <row r="17" spans="1:91">
      <c r="A17" t="e">
        <f>AND(#REF!,"AAAAAH6kRwA=")</f>
        <v>#REF!</v>
      </c>
      <c r="B17" t="e">
        <f>AND(#REF!,"AAAAAH6kRwE=")</f>
        <v>#REF!</v>
      </c>
      <c r="C17" t="e">
        <f>AND(#REF!,"AAAAAH6kRwI=")</f>
        <v>#REF!</v>
      </c>
      <c r="D17" t="e">
        <f>AND(#REF!,"AAAAAH6kRwM=")</f>
        <v>#REF!</v>
      </c>
      <c r="E17" t="e">
        <f>AND(#REF!,"AAAAAH6kRwQ=")</f>
        <v>#REF!</v>
      </c>
      <c r="F17" t="e">
        <f>AND(#REF!,"AAAAAH6kRwU=")</f>
        <v>#REF!</v>
      </c>
      <c r="G17" t="e">
        <f>AND(#REF!,"AAAAAH6kRwY=")</f>
        <v>#REF!</v>
      </c>
      <c r="H17" t="e">
        <f>AND(#REF!,"AAAAAH6kRwc=")</f>
        <v>#REF!</v>
      </c>
      <c r="I17" t="e">
        <f>AND(#REF!,"AAAAAH6kRwg=")</f>
        <v>#REF!</v>
      </c>
      <c r="J17" t="e">
        <f>AND(#REF!,"AAAAAH6kRwk=")</f>
        <v>#REF!</v>
      </c>
      <c r="K17" t="e">
        <f>AND(#REF!,"AAAAAH6kRwo=")</f>
        <v>#REF!</v>
      </c>
      <c r="L17" t="e">
        <f>AND(#REF!,"AAAAAH6kRws=")</f>
        <v>#REF!</v>
      </c>
      <c r="M17" t="e">
        <f>AND(#REF!,"AAAAAH6kRww=")</f>
        <v>#REF!</v>
      </c>
      <c r="N17" t="e">
        <f>AND(#REF!,"AAAAAH6kRw0=")</f>
        <v>#REF!</v>
      </c>
      <c r="O17" t="e">
        <f>IF(#REF!,"AAAAAH6kRw4=",0)</f>
        <v>#REF!</v>
      </c>
      <c r="P17" t="e">
        <f>AND(#REF!,"AAAAAH6kRw8=")</f>
        <v>#REF!</v>
      </c>
      <c r="Q17" t="e">
        <f>AND(#REF!,"AAAAAH6kRxA=")</f>
        <v>#REF!</v>
      </c>
      <c r="R17" t="e">
        <f>AND(#REF!,"AAAAAH6kRxE=")</f>
        <v>#REF!</v>
      </c>
      <c r="S17" t="e">
        <f>AND(#REF!,"AAAAAH6kRxI=")</f>
        <v>#REF!</v>
      </c>
      <c r="T17" t="e">
        <f>AND(#REF!,"AAAAAH6kRxM=")</f>
        <v>#REF!</v>
      </c>
      <c r="U17" t="e">
        <f>AND(#REF!,"AAAAAH6kRxQ=")</f>
        <v>#REF!</v>
      </c>
      <c r="V17" t="e">
        <f>AND(#REF!,"AAAAAH6kRxU=")</f>
        <v>#REF!</v>
      </c>
      <c r="W17" t="e">
        <f>AND(#REF!,"AAAAAH6kRxY=")</f>
        <v>#REF!</v>
      </c>
      <c r="X17" t="e">
        <f>AND(#REF!,"AAAAAH6kRxc=")</f>
        <v>#REF!</v>
      </c>
      <c r="Y17" t="e">
        <f>AND(#REF!,"AAAAAH6kRxg=")</f>
        <v>#REF!</v>
      </c>
      <c r="Z17" t="e">
        <f>AND(#REF!,"AAAAAH6kRxk=")</f>
        <v>#REF!</v>
      </c>
      <c r="AA17" t="e">
        <f>AND(#REF!,"AAAAAH6kRxo=")</f>
        <v>#REF!</v>
      </c>
      <c r="AB17" t="e">
        <f>AND(#REF!,"AAAAAH6kRxs=")</f>
        <v>#REF!</v>
      </c>
      <c r="AC17" t="e">
        <f>AND(#REF!,"AAAAAH6kRxw=")</f>
        <v>#REF!</v>
      </c>
      <c r="AD17" t="e">
        <f>IF(#REF!,"AAAAAH6kRx0=",0)</f>
        <v>#REF!</v>
      </c>
      <c r="AE17" t="e">
        <f>IF(#REF!,"AAAAAH6kRx4=",0)</f>
        <v>#REF!</v>
      </c>
      <c r="AF17" t="e">
        <f>IF(#REF!,"AAAAAH6kRx8=",0)</f>
        <v>#REF!</v>
      </c>
      <c r="AG17" t="e">
        <f>IF(#REF!,"AAAAAH6kRyA=",0)</f>
        <v>#REF!</v>
      </c>
      <c r="AH17" t="e">
        <f>IF(#REF!,"AAAAAH6kRyE=",0)</f>
        <v>#REF!</v>
      </c>
      <c r="AI17" t="e">
        <f>IF(#REF!,"AAAAAH6kRyI=",0)</f>
        <v>#REF!</v>
      </c>
      <c r="AJ17" t="e">
        <f>IF(#REF!,"AAAAAH6kRyM=",0)</f>
        <v>#REF!</v>
      </c>
      <c r="AK17" t="e">
        <f>IF(#REF!,"AAAAAH6kRyQ=",0)</f>
        <v>#REF!</v>
      </c>
      <c r="AL17" t="e">
        <f>IF(#REF!,"AAAAAH6kRyU=",0)</f>
        <v>#REF!</v>
      </c>
      <c r="AM17" t="e">
        <f>IF(#REF!,"AAAAAH6kRyY=",0)</f>
        <v>#REF!</v>
      </c>
      <c r="AN17" t="e">
        <f>IF(#REF!,"AAAAAH6kRyc=",0)</f>
        <v>#REF!</v>
      </c>
      <c r="AO17" t="e">
        <f>IF(#REF!,"AAAAAH6kRyg=",0)</f>
        <v>#REF!</v>
      </c>
      <c r="AP17" t="e">
        <f>IF(#REF!,"AAAAAH6kRyk=",0)</f>
        <v>#REF!</v>
      </c>
      <c r="AQ17" t="e">
        <f>IF(#REF!,"AAAAAH6kRyo=",0)</f>
        <v>#REF!</v>
      </c>
      <c r="AR17" t="s">
        <v>20</v>
      </c>
      <c r="AS17" t="s">
        <v>21</v>
      </c>
      <c r="AT17" t="e">
        <f>IF("N",[0]!_xlnm.Print_Area,"AAAAAH6kRy0=")</f>
        <v>#VALUE!</v>
      </c>
      <c r="AU17" t="e">
        <f>IF("N",[0]!_xlnm.Print_Area,"AAAAAH6kRy4=")</f>
        <v>#VALUE!</v>
      </c>
    </row>
    <row r="18" spans="1:91">
      <c r="A18" t="s">
        <v>22</v>
      </c>
      <c r="B18" t="e">
        <f>IF("N",[0]!_xlnm.Print_Area,"AAAAAG/99wE=")</f>
        <v>#VALUE!</v>
      </c>
      <c r="C18" t="e">
        <f>IF("N",[0]!_xlnm.Print_Area,"AAAAAG/99wI=")</f>
        <v>#VALUE!</v>
      </c>
    </row>
    <row r="19" spans="1:91">
      <c r="A19" t="s">
        <v>23</v>
      </c>
      <c r="B19" t="e">
        <f>IF("N",[0]!_xlnm.Print_Area,"AAAAAH/3eQE=")</f>
        <v>#VALUE!</v>
      </c>
      <c r="C19" t="e">
        <f>IF("N",[0]!_xlnm.Print_Area,"AAAAAH/3eQI=")</f>
        <v>#VALUE!</v>
      </c>
    </row>
    <row r="20" spans="1:91">
      <c r="A20" t="e">
        <f>IF(#REF!,"AAAAAH/3/wA=",0)</f>
        <v>#REF!</v>
      </c>
      <c r="B20" t="e">
        <f>AND(#REF!,"AAAAAH/3/wE=")</f>
        <v>#REF!</v>
      </c>
      <c r="C20" t="e">
        <f>AND(#REF!,"AAAAAH/3/wI=")</f>
        <v>#REF!</v>
      </c>
      <c r="D20" t="e">
        <f>AND(#REF!,"AAAAAH/3/wM=")</f>
        <v>#REF!</v>
      </c>
      <c r="E20" t="e">
        <f>AND(#REF!,"AAAAAH/3/wQ=")</f>
        <v>#REF!</v>
      </c>
      <c r="F20" t="e">
        <f>AND(#REF!,"AAAAAH/3/wU=")</f>
        <v>#REF!</v>
      </c>
      <c r="G20" t="e">
        <f>AND(#REF!,"AAAAAH/3/wY=")</f>
        <v>#REF!</v>
      </c>
      <c r="H20" t="e">
        <f>AND(#REF!,"AAAAAH/3/wc=")</f>
        <v>#REF!</v>
      </c>
      <c r="I20" t="e">
        <f>AND(#REF!,"AAAAAH/3/wg=")</f>
        <v>#REF!</v>
      </c>
      <c r="J20" t="e">
        <f>AND(#REF!,"AAAAAH/3/wk=")</f>
        <v>#REF!</v>
      </c>
      <c r="K20" t="e">
        <f>AND(#REF!,"AAAAAH/3/wo=")</f>
        <v>#REF!</v>
      </c>
      <c r="L20" t="e">
        <f>AND(#REF!,"AAAAAH/3/ws=")</f>
        <v>#REF!</v>
      </c>
      <c r="M20" t="e">
        <f>AND(#REF!,"AAAAAH/3/ww=")</f>
        <v>#REF!</v>
      </c>
      <c r="N20" t="e">
        <f>AND(#REF!,"AAAAAH/3/w0=")</f>
        <v>#REF!</v>
      </c>
      <c r="O20" t="e">
        <f>AND(#REF!,"AAAAAH/3/w4=")</f>
        <v>#REF!</v>
      </c>
      <c r="P20" t="e">
        <f>AND(#REF!,"AAAAAH/3/w8=")</f>
        <v>#REF!</v>
      </c>
      <c r="Q20" t="e">
        <f>AND(#REF!,"AAAAAH/3/xA=")</f>
        <v>#REF!</v>
      </c>
      <c r="R20" t="e">
        <f>AND(#REF!,"AAAAAH/3/xE=")</f>
        <v>#REF!</v>
      </c>
      <c r="S20" t="e">
        <f>AND(#REF!,"AAAAAH/3/xI=")</f>
        <v>#REF!</v>
      </c>
      <c r="T20" t="e">
        <f>AND(#REF!,"AAAAAH/3/xM=")</f>
        <v>#REF!</v>
      </c>
      <c r="U20" t="e">
        <f>AND(#REF!,"AAAAAH/3/xQ=")</f>
        <v>#REF!</v>
      </c>
      <c r="V20" t="e">
        <f>AND(#REF!,"AAAAAH/3/xU=")</f>
        <v>#REF!</v>
      </c>
      <c r="W20" t="e">
        <f>AND(#REF!,"AAAAAH/3/xY=")</f>
        <v>#REF!</v>
      </c>
      <c r="X20" t="e">
        <f>AND(#REF!,"AAAAAH/3/xc=")</f>
        <v>#REF!</v>
      </c>
      <c r="Y20" t="e">
        <f>AND(#REF!,"AAAAAH/3/xg=")</f>
        <v>#REF!</v>
      </c>
      <c r="Z20" t="e">
        <f>AND(#REF!,"AAAAAH/3/xk=")</f>
        <v>#REF!</v>
      </c>
      <c r="AA20" t="e">
        <f>AND(#REF!,"AAAAAH/3/xo=")</f>
        <v>#REF!</v>
      </c>
      <c r="AB20" t="e">
        <f>AND(#REF!,"AAAAAH/3/xs=")</f>
        <v>#REF!</v>
      </c>
      <c r="AC20" t="e">
        <f>AND(#REF!,"AAAAAH/3/xw=")</f>
        <v>#REF!</v>
      </c>
      <c r="AD20" t="e">
        <f>AND(#REF!,"AAAAAH/3/x0=")</f>
        <v>#REF!</v>
      </c>
      <c r="AE20" t="e">
        <f>AND(#REF!,"AAAAAH/3/x4=")</f>
        <v>#REF!</v>
      </c>
      <c r="AF20" t="e">
        <f>AND(#REF!,"AAAAAH/3/x8=")</f>
        <v>#REF!</v>
      </c>
      <c r="AG20" t="e">
        <f>AND(#REF!,"AAAAAH/3/yA=")</f>
        <v>#REF!</v>
      </c>
      <c r="AH20" t="e">
        <f>AND(#REF!,"AAAAAH/3/yE=")</f>
        <v>#REF!</v>
      </c>
      <c r="AI20" t="e">
        <f>AND(#REF!,"AAAAAH/3/yI=")</f>
        <v>#REF!</v>
      </c>
      <c r="AJ20" t="e">
        <f>AND(#REF!,"AAAAAH/3/yM=")</f>
        <v>#REF!</v>
      </c>
      <c r="AK20" t="e">
        <f>AND(#REF!,"AAAAAH/3/yQ=")</f>
        <v>#REF!</v>
      </c>
      <c r="AL20" t="e">
        <f>AND(#REF!,"AAAAAH/3/yU=")</f>
        <v>#REF!</v>
      </c>
      <c r="AM20" t="e">
        <f>AND(#REF!,"AAAAAH/3/yY=")</f>
        <v>#REF!</v>
      </c>
      <c r="AN20" t="e">
        <f>AND(#REF!,"AAAAAH/3/yc=")</f>
        <v>#REF!</v>
      </c>
      <c r="AO20" t="e">
        <f>AND(#REF!,"AAAAAH/3/yg=")</f>
        <v>#REF!</v>
      </c>
      <c r="AP20" t="e">
        <f>AND(#REF!,"AAAAAH/3/yk=")</f>
        <v>#REF!</v>
      </c>
      <c r="AQ20" t="e">
        <f>AND(#REF!,"AAAAAH/3/yo=")</f>
        <v>#REF!</v>
      </c>
      <c r="AR20" t="e">
        <f>AND(#REF!,"AAAAAH/3/ys=")</f>
        <v>#REF!</v>
      </c>
      <c r="AS20" t="e">
        <f>AND(#REF!,"AAAAAH/3/yw=")</f>
        <v>#REF!</v>
      </c>
      <c r="AT20" t="e">
        <f>AND(#REF!,"AAAAAH/3/y0=")</f>
        <v>#REF!</v>
      </c>
      <c r="AU20" t="e">
        <f>AND(#REF!,"AAAAAH/3/y4=")</f>
        <v>#REF!</v>
      </c>
      <c r="AV20" t="e">
        <f>AND(#REF!,"AAAAAH/3/y8=")</f>
        <v>#REF!</v>
      </c>
      <c r="AW20" t="e">
        <f>AND(#REF!,"AAAAAH/3/zA=")</f>
        <v>#REF!</v>
      </c>
      <c r="AX20" t="e">
        <f>AND(#REF!,"AAAAAH/3/zE=")</f>
        <v>#REF!</v>
      </c>
      <c r="AY20" t="e">
        <f>AND(#REF!,"AAAAAH/3/zI=")</f>
        <v>#REF!</v>
      </c>
      <c r="AZ20" t="e">
        <f>AND(#REF!,"AAAAAH/3/zM=")</f>
        <v>#REF!</v>
      </c>
      <c r="BA20" t="e">
        <f>AND(#REF!,"AAAAAH/3/zQ=")</f>
        <v>#REF!</v>
      </c>
      <c r="BB20" t="e">
        <f>AND(#REF!,"AAAAAH/3/zU=")</f>
        <v>#REF!</v>
      </c>
      <c r="BC20" t="e">
        <f>AND(#REF!,"AAAAAH/3/zY=")</f>
        <v>#REF!</v>
      </c>
      <c r="BD20" t="e">
        <f>AND(#REF!,"AAAAAH/3/zc=")</f>
        <v>#REF!</v>
      </c>
      <c r="BE20" t="e">
        <f>AND(#REF!,"AAAAAH/3/zg=")</f>
        <v>#REF!</v>
      </c>
      <c r="BF20" t="e">
        <f>AND(#REF!,"AAAAAH/3/zk=")</f>
        <v>#REF!</v>
      </c>
      <c r="BG20" t="e">
        <f>AND(#REF!,"AAAAAH/3/zo=")</f>
        <v>#REF!</v>
      </c>
      <c r="BH20" t="e">
        <f>AND(#REF!,"AAAAAH/3/zs=")</f>
        <v>#REF!</v>
      </c>
      <c r="BI20" t="e">
        <f>AND(#REF!,"AAAAAH/3/zw=")</f>
        <v>#REF!</v>
      </c>
      <c r="BJ20" t="e">
        <f>AND(#REF!,"AAAAAH/3/z0=")</f>
        <v>#REF!</v>
      </c>
      <c r="BK20" t="e">
        <f>AND(#REF!,"AAAAAH/3/z4=")</f>
        <v>#REF!</v>
      </c>
      <c r="BL20" t="e">
        <f>AND(#REF!,"AAAAAH/3/z8=")</f>
        <v>#REF!</v>
      </c>
      <c r="BM20" t="e">
        <f>IF(#REF!,"AAAAAH/3/0A=",0)</f>
        <v>#REF!</v>
      </c>
      <c r="BN20" t="e">
        <f>IF(#REF!,"AAAAAH/3/0E=",0)</f>
        <v>#REF!</v>
      </c>
      <c r="BO20" t="s">
        <v>25</v>
      </c>
      <c r="BP20" t="e">
        <f>IF("N",[0]!_xlnm.Print_Area,"AAAAAH/3/0M=")</f>
        <v>#VALUE!</v>
      </c>
      <c r="BQ20" t="e">
        <f>IF("N",[0]!_xlnm.Print_Area,"AAAAAH/3/0Q=")</f>
        <v>#VALUE!</v>
      </c>
    </row>
    <row r="21" spans="1:91">
      <c r="A21" t="s">
        <v>26</v>
      </c>
      <c r="B21" t="e">
        <f>IF("N",[0]!_xlnm.Print_Area,"AAAAACjz3QE=")</f>
        <v>#VALUE!</v>
      </c>
      <c r="C21" t="e">
        <f>IF("N",[0]!_xlnm.Print_Area,"AAAAACjz3QI=")</f>
        <v>#VALUE!</v>
      </c>
    </row>
    <row r="22" spans="1:91">
      <c r="A22" t="e">
        <f>IF(#REF!,"AAAAAEf35gA=",0)</f>
        <v>#REF!</v>
      </c>
      <c r="B22" t="e">
        <f>AND(#REF!,"AAAAAEf35gE=")</f>
        <v>#REF!</v>
      </c>
      <c r="C22" t="e">
        <f>AND(#REF!,"AAAAAEf35gI=")</f>
        <v>#REF!</v>
      </c>
      <c r="D22" t="e">
        <f>AND(#REF!,"AAAAAEf35gM=")</f>
        <v>#REF!</v>
      </c>
      <c r="E22" t="e">
        <f>AND(#REF!,"AAAAAEf35gQ=")</f>
        <v>#REF!</v>
      </c>
      <c r="F22" t="e">
        <f>AND(#REF!,"AAAAAEf35gU=")</f>
        <v>#REF!</v>
      </c>
      <c r="G22" t="e">
        <f>AND(#REF!,"AAAAAEf35gY=")</f>
        <v>#REF!</v>
      </c>
      <c r="H22" t="e">
        <f>AND(#REF!,"AAAAAEf35gc=")</f>
        <v>#REF!</v>
      </c>
      <c r="I22" t="e">
        <f>AND(#REF!,"AAAAAEf35gg=")</f>
        <v>#REF!</v>
      </c>
      <c r="J22" t="e">
        <f>AND(#REF!,"AAAAAEf35gk=")</f>
        <v>#REF!</v>
      </c>
      <c r="K22" t="e">
        <f>AND(#REF!,"AAAAAEf35go=")</f>
        <v>#REF!</v>
      </c>
      <c r="L22" t="e">
        <f>AND(#REF!,"AAAAAEf35gs=")</f>
        <v>#REF!</v>
      </c>
      <c r="M22" t="e">
        <f>AND(#REF!,"AAAAAEf35gw=")</f>
        <v>#REF!</v>
      </c>
      <c r="N22" t="e">
        <f>AND(#REF!,"AAAAAEf35g0=")</f>
        <v>#REF!</v>
      </c>
      <c r="O22" t="e">
        <f>AND(#REF!,"AAAAAEf35g4=")</f>
        <v>#REF!</v>
      </c>
      <c r="P22" t="e">
        <f>AND(#REF!,"AAAAAEf35g8=")</f>
        <v>#REF!</v>
      </c>
      <c r="Q22" t="e">
        <f>AND(#REF!,"AAAAAEf35hA=")</f>
        <v>#REF!</v>
      </c>
      <c r="R22" t="e">
        <f>AND(#REF!,"AAAAAEf35hE=")</f>
        <v>#REF!</v>
      </c>
      <c r="S22" t="e">
        <f>AND(#REF!,"AAAAAEf35hI=")</f>
        <v>#REF!</v>
      </c>
      <c r="T22" t="e">
        <f>AND(#REF!,"AAAAAEf35hM=")</f>
        <v>#REF!</v>
      </c>
      <c r="U22" t="e">
        <f>AND(#REF!,"AAAAAEf35hQ=")</f>
        <v>#REF!</v>
      </c>
      <c r="V22" t="e">
        <f>AND(#REF!,"AAAAAEf35hU=")</f>
        <v>#REF!</v>
      </c>
      <c r="W22" t="s">
        <v>27</v>
      </c>
      <c r="X22" t="e">
        <f>IF("N",[0]!_xlnm.Print_Area,"AAAAAEf35hc=")</f>
        <v>#VALUE!</v>
      </c>
      <c r="Y22" t="e">
        <f>IF("N",[0]!_xlnm.Print_Area,"AAAAAEf35hg=")</f>
        <v>#VALUE!</v>
      </c>
    </row>
    <row r="23" spans="1:91">
      <c r="A23" t="s">
        <v>28</v>
      </c>
      <c r="B23" t="e">
        <f>IF("N",[0]!_xlnm.Print_Area,"AAAAAHt3uwE=")</f>
        <v>#VALUE!</v>
      </c>
      <c r="C23" t="e">
        <f>IF("N",[0]!_xlnm.Print_Area,"AAAAAHt3uwI=")</f>
        <v>#VALUE!</v>
      </c>
    </row>
    <row r="24" spans="1:91">
      <c r="A24" t="s">
        <v>29</v>
      </c>
      <c r="B24" t="e">
        <f>IF("N",[0]!_xlnm.Print_Area,"AAAAAF/n7wE=")</f>
        <v>#VALUE!</v>
      </c>
      <c r="C24" t="e">
        <f>IF("N",[0]!_xlnm.Print_Area,"AAAAAF/n7wI=")</f>
        <v>#VALUE!</v>
      </c>
    </row>
    <row r="25" spans="1:91">
      <c r="A25" t="s">
        <v>30</v>
      </c>
      <c r="B25" t="e">
        <f>IF("N",[0]!_xlnm.Print_Area,"AAAAAC/3UwE=")</f>
        <v>#VALUE!</v>
      </c>
      <c r="C25" t="e">
        <f>IF("N",[0]!_xlnm.Print_Area,"AAAAAC/3UwI=")</f>
        <v>#VALUE!</v>
      </c>
    </row>
    <row r="26" spans="1:91">
      <c r="A26" t="s">
        <v>31</v>
      </c>
      <c r="B26" t="e">
        <f>IF("N",[0]!_xlnm.Print_Area,"AAAAAH/nZQE=")</f>
        <v>#VALUE!</v>
      </c>
      <c r="C26" t="e">
        <f>IF("N",[0]!_xlnm.Print_Area,"AAAAAH/nZQI=")</f>
        <v>#VALUE!</v>
      </c>
    </row>
    <row r="27" spans="1:91">
      <c r="A27" t="e">
        <f>AND(#REF!,"AAAAAHr/vgA=")</f>
        <v>#REF!</v>
      </c>
      <c r="B27" t="e">
        <f>IF(#REF!,"AAAAAHr/vgE=",0)</f>
        <v>#REF!</v>
      </c>
      <c r="C27" t="e">
        <f>AND(#REF!,"AAAAAHr/vgI=")</f>
        <v>#REF!</v>
      </c>
      <c r="D27" t="e">
        <f>AND(#REF!,"AAAAAHr/vgM=")</f>
        <v>#REF!</v>
      </c>
      <c r="E27" t="e">
        <f>AND(#REF!,"AAAAAHr/vgQ=")</f>
        <v>#REF!</v>
      </c>
      <c r="F27" t="e">
        <f>AND(#REF!,"AAAAAHr/vgU=")</f>
        <v>#REF!</v>
      </c>
      <c r="G27" t="e">
        <f>AND(#REF!,"AAAAAHr/vgY=")</f>
        <v>#REF!</v>
      </c>
      <c r="H27" t="e">
        <f>AND(#REF!,"AAAAAHr/vgc=")</f>
        <v>#REF!</v>
      </c>
      <c r="I27" t="e">
        <f>AND(#REF!,"AAAAAHr/vgg=")</f>
        <v>#REF!</v>
      </c>
      <c r="J27" t="e">
        <f>AND(#REF!,"AAAAAHr/vgk=")</f>
        <v>#REF!</v>
      </c>
      <c r="K27" t="e">
        <f>AND(#REF!,"AAAAAHr/vgo=")</f>
        <v>#REF!</v>
      </c>
      <c r="L27" t="e">
        <f>AND(#REF!,"AAAAAHr/vgs=")</f>
        <v>#REF!</v>
      </c>
      <c r="M27" t="e">
        <f>AND(#REF!,"AAAAAHr/vgw=")</f>
        <v>#REF!</v>
      </c>
      <c r="N27" t="e">
        <f>AND(#REF!,"AAAAAHr/vg0=")</f>
        <v>#REF!</v>
      </c>
      <c r="O27" t="e">
        <f>AND(#REF!,"AAAAAHr/vg4=")</f>
        <v>#REF!</v>
      </c>
      <c r="P27" t="e">
        <f>AND(#REF!,"AAAAAHr/vg8=")</f>
        <v>#REF!</v>
      </c>
      <c r="Q27" t="e">
        <f>AND(#REF!,"AAAAAHr/vhA=")</f>
        <v>#REF!</v>
      </c>
      <c r="R27" t="e">
        <f>AND(#REF!,"AAAAAHr/vhE=")</f>
        <v>#REF!</v>
      </c>
      <c r="S27" t="e">
        <f>AND(#REF!,"AAAAAHr/vhI=")</f>
        <v>#REF!</v>
      </c>
      <c r="T27" t="e">
        <f>AND(#REF!,"AAAAAHr/vhM=")</f>
        <v>#REF!</v>
      </c>
      <c r="U27" t="e">
        <f>AND(#REF!,"AAAAAHr/vhQ=")</f>
        <v>#REF!</v>
      </c>
      <c r="V27" t="e">
        <f>AND(#REF!,"AAAAAHr/vhU=")</f>
        <v>#REF!</v>
      </c>
      <c r="W27" t="e">
        <f>AND(#REF!,"AAAAAHr/vhY=")</f>
        <v>#REF!</v>
      </c>
      <c r="X27" t="e">
        <f>IF(#REF!,"AAAAAHr/vhc=",0)</f>
        <v>#REF!</v>
      </c>
      <c r="Y27" t="e">
        <f>AND(#REF!,"AAAAAHr/vhg=")</f>
        <v>#REF!</v>
      </c>
      <c r="Z27" t="e">
        <f>AND(#REF!,"AAAAAHr/vhk=")</f>
        <v>#REF!</v>
      </c>
      <c r="AA27" t="e">
        <f>AND(#REF!,"AAAAAHr/vho=")</f>
        <v>#REF!</v>
      </c>
      <c r="AB27" t="e">
        <f>AND(#REF!,"AAAAAHr/vhs=")</f>
        <v>#REF!</v>
      </c>
      <c r="AC27" t="e">
        <f>AND(#REF!,"AAAAAHr/vhw=")</f>
        <v>#REF!</v>
      </c>
      <c r="AD27" t="e">
        <f>AND(#REF!,"AAAAAHr/vh0=")</f>
        <v>#REF!</v>
      </c>
      <c r="AE27" t="e">
        <f>AND(#REF!,"AAAAAHr/vh4=")</f>
        <v>#REF!</v>
      </c>
      <c r="AF27" t="e">
        <f>AND(#REF!,"AAAAAHr/vh8=")</f>
        <v>#REF!</v>
      </c>
      <c r="AG27" t="e">
        <f>AND(#REF!,"AAAAAHr/viA=")</f>
        <v>#REF!</v>
      </c>
      <c r="AH27" t="e">
        <f>AND(#REF!,"AAAAAHr/viE=")</f>
        <v>#REF!</v>
      </c>
      <c r="AI27" t="e">
        <f>AND(#REF!,"AAAAAHr/viI=")</f>
        <v>#REF!</v>
      </c>
      <c r="AJ27" t="e">
        <f>AND(#REF!,"AAAAAHr/viM=")</f>
        <v>#REF!</v>
      </c>
      <c r="AK27" t="e">
        <f>AND(#REF!,"AAAAAHr/viQ=")</f>
        <v>#REF!</v>
      </c>
      <c r="AL27" t="e">
        <f>AND(#REF!,"AAAAAHr/viU=")</f>
        <v>#REF!</v>
      </c>
      <c r="AM27" t="e">
        <f>AND(#REF!,"AAAAAHr/viY=")</f>
        <v>#REF!</v>
      </c>
      <c r="AN27" t="e">
        <f>AND(#REF!,"AAAAAHr/vic=")</f>
        <v>#REF!</v>
      </c>
      <c r="AO27" t="e">
        <f>AND(#REF!,"AAAAAHr/vig=")</f>
        <v>#REF!</v>
      </c>
      <c r="AP27" t="e">
        <f>AND(#REF!,"AAAAAHr/vik=")</f>
        <v>#REF!</v>
      </c>
      <c r="AQ27" t="e">
        <f>AND(#REF!,"AAAAAHr/vio=")</f>
        <v>#REF!</v>
      </c>
      <c r="AR27" t="e">
        <f>AND(#REF!,"AAAAAHr/vis=")</f>
        <v>#REF!</v>
      </c>
      <c r="AS27" t="e">
        <f>AND(#REF!,"AAAAAHr/viw=")</f>
        <v>#REF!</v>
      </c>
      <c r="AT27" t="e">
        <f>AND(#REF!,"AAAAAHr/vi0=")</f>
        <v>#REF!</v>
      </c>
      <c r="AU27" t="e">
        <f>AND(#REF!,"AAAAAHr/vi4=")</f>
        <v>#REF!</v>
      </c>
      <c r="AV27" t="e">
        <f>AND(#REF!,"AAAAAHr/vi8=")</f>
        <v>#REF!</v>
      </c>
      <c r="AW27" t="e">
        <f>IF(#REF!,"AAAAAHr/vjA=",0)</f>
        <v>#REF!</v>
      </c>
      <c r="AX27" t="e">
        <f>AND(#REF!,"AAAAAHr/vjE=")</f>
        <v>#REF!</v>
      </c>
      <c r="AY27" t="e">
        <f>AND(#REF!,"AAAAAHr/vjI=")</f>
        <v>#REF!</v>
      </c>
      <c r="AZ27" t="e">
        <f>AND(#REF!,"AAAAAHr/vjM=")</f>
        <v>#REF!</v>
      </c>
      <c r="BA27" t="e">
        <f>AND(#REF!,"AAAAAHr/vjQ=")</f>
        <v>#REF!</v>
      </c>
      <c r="BB27" t="e">
        <f>AND(#REF!,"AAAAAHr/vjU=")</f>
        <v>#REF!</v>
      </c>
      <c r="BC27" t="e">
        <f>AND(#REF!,"AAAAAHr/vjY=")</f>
        <v>#REF!</v>
      </c>
      <c r="BD27" t="e">
        <f>AND(#REF!,"AAAAAHr/vjc=")</f>
        <v>#REF!</v>
      </c>
      <c r="BE27" t="e">
        <f>AND(#REF!,"AAAAAHr/vjg=")</f>
        <v>#REF!</v>
      </c>
      <c r="BF27" t="e">
        <f>AND(#REF!,"AAAAAHr/vjk=")</f>
        <v>#REF!</v>
      </c>
      <c r="BG27" t="e">
        <f>AND(#REF!,"AAAAAHr/vjo=")</f>
        <v>#REF!</v>
      </c>
      <c r="BH27" t="e">
        <f>AND(#REF!,"AAAAAHr/vjs=")</f>
        <v>#REF!</v>
      </c>
      <c r="BI27" t="e">
        <f>AND(#REF!,"AAAAAHr/vjw=")</f>
        <v>#REF!</v>
      </c>
      <c r="BJ27" t="e">
        <f>AND(#REF!,"AAAAAHr/vj0=")</f>
        <v>#REF!</v>
      </c>
      <c r="BK27" t="e">
        <f>AND(#REF!,"AAAAAHr/vj4=")</f>
        <v>#REF!</v>
      </c>
      <c r="BL27" t="s">
        <v>33</v>
      </c>
      <c r="BM27" t="e">
        <f>IF("N",[0]!_xlnm.Print_Area,"AAAAAHr/vkA=")</f>
        <v>#VALUE!</v>
      </c>
      <c r="BN27" t="e">
        <f>IF("N",[0]!_xlnm.Print_Area,"AAAAAHr/vkE=")</f>
        <v>#VALUE!</v>
      </c>
    </row>
    <row r="28" spans="1:91">
      <c r="A28" t="e">
        <f>IF(#REF!,"AAAAAH/dzQA=",0)</f>
        <v>#REF!</v>
      </c>
      <c r="B28" t="e">
        <f>AND(#REF!,"AAAAAH/dzQE=")</f>
        <v>#REF!</v>
      </c>
      <c r="C28" t="e">
        <f>AND(#REF!,"AAAAAH/dzQI=")</f>
        <v>#REF!</v>
      </c>
      <c r="D28" t="e">
        <f>AND(#REF!,"AAAAAH/dzQM=")</f>
        <v>#REF!</v>
      </c>
      <c r="E28" t="e">
        <f>AND(#REF!,"AAAAAH/dzQQ=")</f>
        <v>#REF!</v>
      </c>
      <c r="F28" t="e">
        <f>AND(#REF!,"AAAAAH/dzQU=")</f>
        <v>#REF!</v>
      </c>
      <c r="G28" t="e">
        <f>AND(#REF!,"AAAAAH/dzQY=")</f>
        <v>#REF!</v>
      </c>
      <c r="H28" t="e">
        <f>AND(#REF!,"AAAAAH/dzQc=")</f>
        <v>#REF!</v>
      </c>
      <c r="I28" t="e">
        <f>AND(#REF!,"AAAAAH/dzQg=")</f>
        <v>#REF!</v>
      </c>
      <c r="J28" t="e">
        <f>AND(#REF!,"AAAAAH/dzQk=")</f>
        <v>#REF!</v>
      </c>
      <c r="K28" t="e">
        <f>AND(#REF!,"AAAAAH/dzQo=")</f>
        <v>#REF!</v>
      </c>
      <c r="L28" t="e">
        <f>AND(#REF!,"AAAAAH/dzQs=")</f>
        <v>#REF!</v>
      </c>
      <c r="M28" t="e">
        <f>AND(#REF!,"AAAAAH/dzQw=")</f>
        <v>#REF!</v>
      </c>
      <c r="N28" t="e">
        <f>AND(#REF!,"AAAAAH/dzQ0=")</f>
        <v>#REF!</v>
      </c>
      <c r="O28" t="e">
        <f>AND(#REF!,"AAAAAH/dzQ4=")</f>
        <v>#REF!</v>
      </c>
      <c r="P28" t="e">
        <f>AND(#REF!,"AAAAAH/dzQ8=")</f>
        <v>#REF!</v>
      </c>
      <c r="Q28" t="e">
        <f>AND(#REF!,"AAAAAH/dzRA=")</f>
        <v>#REF!</v>
      </c>
      <c r="R28" t="e">
        <f>AND(#REF!,"AAAAAH/dzRE=")</f>
        <v>#REF!</v>
      </c>
      <c r="S28" t="e">
        <f>AND(#REF!,"AAAAAH/dzRI=")</f>
        <v>#REF!</v>
      </c>
      <c r="T28" t="e">
        <f>AND(#REF!,"AAAAAH/dzRM=")</f>
        <v>#REF!</v>
      </c>
      <c r="U28" t="e">
        <f>AND(#REF!,"AAAAAH/dzRQ=")</f>
        <v>#REF!</v>
      </c>
      <c r="V28" t="e">
        <f>AND(#REF!,"AAAAAH/dzRU=")</f>
        <v>#REF!</v>
      </c>
      <c r="W28" t="e">
        <f>IF(#REF!,"AAAAAH/dzRY=",0)</f>
        <v>#REF!</v>
      </c>
      <c r="X28" t="e">
        <f>AND(#REF!,"AAAAAH/dzRc=")</f>
        <v>#REF!</v>
      </c>
      <c r="Y28" t="e">
        <f>AND(#REF!,"AAAAAH/dzRg=")</f>
        <v>#REF!</v>
      </c>
      <c r="Z28" t="e">
        <f>AND(#REF!,"AAAAAH/dzRk=")</f>
        <v>#REF!</v>
      </c>
      <c r="AA28" t="e">
        <f>AND(#REF!,"AAAAAH/dzRo=")</f>
        <v>#REF!</v>
      </c>
      <c r="AB28" t="e">
        <f>AND(#REF!,"AAAAAH/dzRs=")</f>
        <v>#REF!</v>
      </c>
      <c r="AC28" t="e">
        <f>AND(#REF!,"AAAAAH/dzRw=")</f>
        <v>#REF!</v>
      </c>
      <c r="AD28" t="e">
        <f>AND(#REF!,"AAAAAH/dzR0=")</f>
        <v>#REF!</v>
      </c>
      <c r="AE28" t="e">
        <f>AND(#REF!,"AAAAAH/dzR4=")</f>
        <v>#REF!</v>
      </c>
      <c r="AF28" t="e">
        <f>AND(#REF!,"AAAAAH/dzR8=")</f>
        <v>#REF!</v>
      </c>
      <c r="AG28" t="e">
        <f>AND(#REF!,"AAAAAH/dzSA=")</f>
        <v>#REF!</v>
      </c>
      <c r="AH28" t="e">
        <f>AND(#REF!,"AAAAAH/dzSE=")</f>
        <v>#REF!</v>
      </c>
      <c r="AI28" t="e">
        <f>AND(#REF!,"AAAAAH/dzSI=")</f>
        <v>#REF!</v>
      </c>
      <c r="AJ28" t="e">
        <f>AND(#REF!,"AAAAAH/dzSM=")</f>
        <v>#REF!</v>
      </c>
      <c r="AK28" t="e">
        <f>AND(#REF!,"AAAAAH/dzSQ=")</f>
        <v>#REF!</v>
      </c>
      <c r="AL28" t="e">
        <f>AND(#REF!,"AAAAAH/dzSU=")</f>
        <v>#REF!</v>
      </c>
      <c r="AM28" t="e">
        <f>AND(#REF!,"AAAAAH/dzSY=")</f>
        <v>#REF!</v>
      </c>
      <c r="AN28" t="e">
        <f>AND(#REF!,"AAAAAH/dzSc=")</f>
        <v>#REF!</v>
      </c>
      <c r="AO28" t="e">
        <f>AND(#REF!,"AAAAAH/dzSg=")</f>
        <v>#REF!</v>
      </c>
      <c r="AP28" t="e">
        <f>AND(#REF!,"AAAAAH/dzSk=")</f>
        <v>#REF!</v>
      </c>
      <c r="AQ28" t="e">
        <f>AND(#REF!,"AAAAAH/dzSo=")</f>
        <v>#REF!</v>
      </c>
      <c r="AR28" t="e">
        <f>AND(#REF!,"AAAAAH/dzSs=")</f>
        <v>#REF!</v>
      </c>
      <c r="AS28" t="e">
        <f>IF(#REF!,"AAAAAH/dzSw=",0)</f>
        <v>#REF!</v>
      </c>
      <c r="AT28" t="e">
        <f>AND(#REF!,"AAAAAH/dzS0=")</f>
        <v>#REF!</v>
      </c>
      <c r="AU28" t="e">
        <f>AND(#REF!,"AAAAAH/dzS4=")</f>
        <v>#REF!</v>
      </c>
      <c r="AV28" t="e">
        <f>AND(#REF!,"AAAAAH/dzS8=")</f>
        <v>#REF!</v>
      </c>
      <c r="AW28" t="e">
        <f>AND(#REF!,"AAAAAH/dzTA=")</f>
        <v>#REF!</v>
      </c>
      <c r="AX28" t="e">
        <f>AND(#REF!,"AAAAAH/dzTE=")</f>
        <v>#REF!</v>
      </c>
      <c r="AY28" t="e">
        <f>AND(#REF!,"AAAAAH/dzTI=")</f>
        <v>#REF!</v>
      </c>
      <c r="AZ28" t="e">
        <f>AND(#REF!,"AAAAAH/dzTM=")</f>
        <v>#REF!</v>
      </c>
      <c r="BA28" t="e">
        <f>AND(#REF!,"AAAAAH/dzTQ=")</f>
        <v>#REF!</v>
      </c>
      <c r="BB28" t="e">
        <f>AND(#REF!,"AAAAAH/dzTU=")</f>
        <v>#REF!</v>
      </c>
      <c r="BC28" t="e">
        <f>AND(#REF!,"AAAAAH/dzTY=")</f>
        <v>#REF!</v>
      </c>
      <c r="BD28" t="e">
        <f>AND(#REF!,"AAAAAH/dzTc=")</f>
        <v>#REF!</v>
      </c>
      <c r="BE28" t="e">
        <f>AND(#REF!,"AAAAAH/dzTg=")</f>
        <v>#REF!</v>
      </c>
      <c r="BF28" t="e">
        <f>AND(#REF!,"AAAAAH/dzTk=")</f>
        <v>#REF!</v>
      </c>
      <c r="BG28" t="e">
        <f>AND(#REF!,"AAAAAH/dzTo=")</f>
        <v>#REF!</v>
      </c>
      <c r="BH28" t="e">
        <f>AND(#REF!,"AAAAAH/dzTs=")</f>
        <v>#REF!</v>
      </c>
      <c r="BI28" t="e">
        <f>AND(#REF!,"AAAAAH/dzTw=")</f>
        <v>#REF!</v>
      </c>
      <c r="BJ28" t="e">
        <f>AND(#REF!,"AAAAAH/dzT0=")</f>
        <v>#REF!</v>
      </c>
      <c r="BK28" t="e">
        <f>AND(#REF!,"AAAAAH/dzT4=")</f>
        <v>#REF!</v>
      </c>
      <c r="BL28" t="e">
        <f>AND(#REF!,"AAAAAH/dzT8=")</f>
        <v>#REF!</v>
      </c>
      <c r="BM28" t="e">
        <f>AND(#REF!,"AAAAAH/dzUA=")</f>
        <v>#REF!</v>
      </c>
      <c r="BN28" t="e">
        <f>AND(#REF!,"AAAAAH/dzUE=")</f>
        <v>#REF!</v>
      </c>
      <c r="BO28" t="e">
        <f>IF(#REF!,"AAAAAH/dzUI=",0)</f>
        <v>#REF!</v>
      </c>
      <c r="BP28" t="e">
        <f>AND(#REF!,"AAAAAH/dzUM=")</f>
        <v>#REF!</v>
      </c>
      <c r="BQ28" t="e">
        <f>AND(#REF!,"AAAAAH/dzUQ=")</f>
        <v>#REF!</v>
      </c>
      <c r="BR28" t="e">
        <f>AND(#REF!,"AAAAAH/dzUU=")</f>
        <v>#REF!</v>
      </c>
      <c r="BS28" t="e">
        <f>AND(#REF!,"AAAAAH/dzUY=")</f>
        <v>#REF!</v>
      </c>
      <c r="BT28" t="e">
        <f>AND(#REF!,"AAAAAH/dzUc=")</f>
        <v>#REF!</v>
      </c>
      <c r="BU28" t="e">
        <f>AND(#REF!,"AAAAAH/dzUg=")</f>
        <v>#REF!</v>
      </c>
      <c r="BV28" t="e">
        <f>AND(#REF!,"AAAAAH/dzUk=")</f>
        <v>#REF!</v>
      </c>
      <c r="BW28" t="e">
        <f>AND(#REF!,"AAAAAH/dzUo=")</f>
        <v>#REF!</v>
      </c>
      <c r="BX28" t="e">
        <f>AND(#REF!,"AAAAAH/dzUs=")</f>
        <v>#REF!</v>
      </c>
      <c r="BY28" t="e">
        <f>AND(#REF!,"AAAAAH/dzUw=")</f>
        <v>#REF!</v>
      </c>
      <c r="BZ28" t="e">
        <f>AND(#REF!,"AAAAAH/dzU0=")</f>
        <v>#REF!</v>
      </c>
      <c r="CA28" t="e">
        <f>AND(#REF!,"AAAAAH/dzU4=")</f>
        <v>#REF!</v>
      </c>
      <c r="CB28" t="e">
        <f>AND(#REF!,"AAAAAH/dzU8=")</f>
        <v>#REF!</v>
      </c>
      <c r="CC28" t="e">
        <f>AND(#REF!,"AAAAAH/dzVA=")</f>
        <v>#REF!</v>
      </c>
      <c r="CD28" t="e">
        <f>AND(#REF!,"AAAAAH/dzVE=")</f>
        <v>#REF!</v>
      </c>
      <c r="CE28" t="e">
        <f>AND(#REF!,"AAAAAH/dzVI=")</f>
        <v>#REF!</v>
      </c>
      <c r="CF28" t="e">
        <f>AND(#REF!,"AAAAAH/dzVM=")</f>
        <v>#REF!</v>
      </c>
      <c r="CG28" t="e">
        <f>AND(#REF!,"AAAAAH/dzVQ=")</f>
        <v>#REF!</v>
      </c>
      <c r="CH28" t="e">
        <f>AND(#REF!,"AAAAAH/dzVU=")</f>
        <v>#REF!</v>
      </c>
      <c r="CI28" t="e">
        <f>AND(#REF!,"AAAAAH/dzVY=")</f>
        <v>#REF!</v>
      </c>
      <c r="CJ28" t="e">
        <f>AND(#REF!,"AAAAAH/dzVc=")</f>
        <v>#REF!</v>
      </c>
      <c r="CK28" t="s">
        <v>34</v>
      </c>
      <c r="CL28" t="e">
        <f>IF("N",[0]!_xlnm.Print_Area,"AAAAAH/dzVk=")</f>
        <v>#VALUE!</v>
      </c>
      <c r="CM28" t="e">
        <f>IF("N",[0]!_xlnm.Print_Area,"AAAAAH/dzVo=")</f>
        <v>#VALUE!</v>
      </c>
    </row>
    <row r="29" spans="1:91">
      <c r="A29" t="s">
        <v>35</v>
      </c>
      <c r="B29" t="e">
        <f>IF("N",[0]!_xlnm.Print_Area,"AAAAAHv/HgE=")</f>
        <v>#VALUE!</v>
      </c>
      <c r="C29" t="e">
        <f>IF("N",[0]!_xlnm.Print_Area,"AAAAAHv/HgI=")</f>
        <v>#VALUE!</v>
      </c>
    </row>
    <row r="30" spans="1:91">
      <c r="A30" t="s">
        <v>36</v>
      </c>
      <c r="B30" t="e">
        <f>IF("N",[0]!_xlnm.Print_Area,"AAAAAF7+/gE=")</f>
        <v>#VALUE!</v>
      </c>
      <c r="C30" t="e">
        <f>IF("N",[0]!_xlnm.Print_Area,"AAAAAF7+/gI=")</f>
        <v>#VALUE!</v>
      </c>
    </row>
    <row r="31" spans="1:91">
      <c r="A31" t="s">
        <v>37</v>
      </c>
      <c r="B31" t="e">
        <f>IF("N",[0]!_xlnm.Print_Area,"AAAAAD/+7gE=")</f>
        <v>#VALUE!</v>
      </c>
      <c r="C31" t="e">
        <f>IF("N",[0]!_xlnm.Print_Area,"AAAAAD/+7gI=")</f>
        <v>#VALUE!</v>
      </c>
    </row>
    <row r="32" spans="1:91">
      <c r="A32" t="s">
        <v>38</v>
      </c>
      <c r="B32" t="e">
        <f>IF("N",[0]!_xlnm.Print_Area,"AAAAAE3/awE=")</f>
        <v>#VALUE!</v>
      </c>
      <c r="C32" t="e">
        <f>IF("N",[0]!_xlnm.Print_Area,"AAAAAE3/awI=")</f>
        <v>#VALUE!</v>
      </c>
    </row>
    <row r="33" spans="1:256">
      <c r="A33" t="e">
        <f>IF(#REF!,"AAAAAFhfvwA=",0)</f>
        <v>#REF!</v>
      </c>
      <c r="B33" t="e">
        <f>AND(#REF!,"AAAAAFhfvwE=")</f>
        <v>#REF!</v>
      </c>
      <c r="C33" t="e">
        <f>AND(#REF!,"AAAAAFhfvwI=")</f>
        <v>#REF!</v>
      </c>
      <c r="D33" t="e">
        <f>AND(#REF!,"AAAAAFhfvwM=")</f>
        <v>#REF!</v>
      </c>
      <c r="E33" t="e">
        <f>AND(#REF!,"AAAAAFhfvwQ=")</f>
        <v>#REF!</v>
      </c>
      <c r="F33" t="e">
        <f>AND(#REF!,"AAAAAFhfvwU=")</f>
        <v>#REF!</v>
      </c>
      <c r="G33" t="e">
        <f>AND(#REF!,"AAAAAFhfvwY=")</f>
        <v>#REF!</v>
      </c>
      <c r="H33" t="e">
        <f>AND(#REF!,"AAAAAFhfvwc=")</f>
        <v>#REF!</v>
      </c>
      <c r="I33" t="e">
        <f>AND(#REF!,"AAAAAFhfvwg=")</f>
        <v>#REF!</v>
      </c>
      <c r="J33" t="e">
        <f>AND(#REF!,"AAAAAFhfvwk=")</f>
        <v>#REF!</v>
      </c>
      <c r="K33" t="e">
        <f>AND(#REF!,"AAAAAFhfvwo=")</f>
        <v>#REF!</v>
      </c>
      <c r="L33" t="e">
        <f>AND(#REF!,"AAAAAFhfvws=")</f>
        <v>#REF!</v>
      </c>
      <c r="M33" t="e">
        <f>AND(#REF!,"AAAAAFhfvww=")</f>
        <v>#REF!</v>
      </c>
      <c r="N33" t="e">
        <f>AND(#REF!,"AAAAAFhfvw0=")</f>
        <v>#REF!</v>
      </c>
      <c r="O33" t="e">
        <f>AND(#REF!,"AAAAAFhfvw4=")</f>
        <v>#REF!</v>
      </c>
      <c r="P33" t="e">
        <f>AND(#REF!,"AAAAAFhfvw8=")</f>
        <v>#REF!</v>
      </c>
      <c r="Q33" t="e">
        <f>AND(#REF!,"AAAAAFhfvxA=")</f>
        <v>#REF!</v>
      </c>
      <c r="R33" t="e">
        <f>AND(#REF!,"AAAAAFhfvxE=")</f>
        <v>#REF!</v>
      </c>
      <c r="S33" t="e">
        <f>AND(#REF!,"AAAAAFhfvxI=")</f>
        <v>#REF!</v>
      </c>
      <c r="T33" t="e">
        <f>AND(#REF!,"AAAAAFhfvxM=")</f>
        <v>#REF!</v>
      </c>
      <c r="U33" t="e">
        <f>AND(#REF!,"AAAAAFhfvxQ=")</f>
        <v>#REF!</v>
      </c>
      <c r="V33" t="e">
        <f>AND(#REF!,"AAAAAFhfvxU=")</f>
        <v>#REF!</v>
      </c>
      <c r="W33" t="e">
        <f>IF(#REF!,"AAAAAFhfvxY=",0)</f>
        <v>#REF!</v>
      </c>
      <c r="X33" t="e">
        <f>AND(#REF!,"AAAAAFhfvxc=")</f>
        <v>#REF!</v>
      </c>
      <c r="Y33" t="e">
        <f>AND(#REF!,"AAAAAFhfvxg=")</f>
        <v>#REF!</v>
      </c>
      <c r="Z33" t="e">
        <f>AND(#REF!,"AAAAAFhfvxk=")</f>
        <v>#REF!</v>
      </c>
      <c r="AA33" t="e">
        <f>AND(#REF!,"AAAAAFhfvxo=")</f>
        <v>#REF!</v>
      </c>
      <c r="AB33" t="e">
        <f>AND(#REF!,"AAAAAFhfvxs=")</f>
        <v>#REF!</v>
      </c>
      <c r="AC33" t="e">
        <f>AND(#REF!,"AAAAAFhfvxw=")</f>
        <v>#REF!</v>
      </c>
      <c r="AD33" t="e">
        <f>AND(#REF!,"AAAAAFhfvx0=")</f>
        <v>#REF!</v>
      </c>
      <c r="AE33" t="e">
        <f>AND(#REF!,"AAAAAFhfvx4=")</f>
        <v>#REF!</v>
      </c>
      <c r="AF33" t="e">
        <f>AND(#REF!,"AAAAAFhfvx8=")</f>
        <v>#REF!</v>
      </c>
      <c r="AG33" t="e">
        <f>AND(#REF!,"AAAAAFhfvyA=")</f>
        <v>#REF!</v>
      </c>
      <c r="AH33" t="e">
        <f>AND(#REF!,"AAAAAFhfvyE=")</f>
        <v>#REF!</v>
      </c>
      <c r="AI33" t="e">
        <f>AND(#REF!,"AAAAAFhfvyI=")</f>
        <v>#REF!</v>
      </c>
      <c r="AJ33" t="e">
        <f>AND(#REF!,"AAAAAFhfvyM=")</f>
        <v>#REF!</v>
      </c>
      <c r="AK33" t="e">
        <f>AND(#REF!,"AAAAAFhfvyQ=")</f>
        <v>#REF!</v>
      </c>
      <c r="AL33" t="e">
        <f>AND(#REF!,"AAAAAFhfvyU=")</f>
        <v>#REF!</v>
      </c>
      <c r="AM33" t="e">
        <f>AND(#REF!,"AAAAAFhfvyY=")</f>
        <v>#REF!</v>
      </c>
      <c r="AN33" t="e">
        <f>AND(#REF!,"AAAAAFhfvyc=")</f>
        <v>#REF!</v>
      </c>
      <c r="AO33" t="e">
        <f>AND(#REF!,"AAAAAFhfvyg=")</f>
        <v>#REF!</v>
      </c>
      <c r="AP33" t="e">
        <f>AND(#REF!,"AAAAAFhfvyk=")</f>
        <v>#REF!</v>
      </c>
      <c r="AQ33" t="e">
        <f>AND(#REF!,"AAAAAFhfvyo=")</f>
        <v>#REF!</v>
      </c>
      <c r="AR33" t="e">
        <f>AND(#REF!,"AAAAAFhfvys=")</f>
        <v>#REF!</v>
      </c>
      <c r="AS33" t="e">
        <f>IF(#REF!,"AAAAAFhfvyw=",0)</f>
        <v>#REF!</v>
      </c>
      <c r="AT33" t="e">
        <f>AND(#REF!,"AAAAAFhfvy0=")</f>
        <v>#REF!</v>
      </c>
      <c r="AU33" t="e">
        <f>AND(#REF!,"AAAAAFhfvy4=")</f>
        <v>#REF!</v>
      </c>
      <c r="AV33" t="e">
        <f>AND(#REF!,"AAAAAFhfvy8=")</f>
        <v>#REF!</v>
      </c>
      <c r="AW33" t="e">
        <f>AND(#REF!,"AAAAAFhfvzA=")</f>
        <v>#REF!</v>
      </c>
      <c r="AX33" t="e">
        <f>AND(#REF!,"AAAAAFhfvzE=")</f>
        <v>#REF!</v>
      </c>
      <c r="AY33" t="e">
        <f>AND(#REF!,"AAAAAFhfvzI=")</f>
        <v>#REF!</v>
      </c>
      <c r="AZ33" t="e">
        <f>AND(#REF!,"AAAAAFhfvzM=")</f>
        <v>#REF!</v>
      </c>
      <c r="BA33" t="e">
        <f>AND(#REF!,"AAAAAFhfvzQ=")</f>
        <v>#REF!</v>
      </c>
      <c r="BB33" t="e">
        <f>AND(#REF!,"AAAAAFhfvzU=")</f>
        <v>#REF!</v>
      </c>
      <c r="BC33" t="e">
        <f>AND(#REF!,"AAAAAFhfvzY=")</f>
        <v>#REF!</v>
      </c>
      <c r="BD33" t="e">
        <f>AND(#REF!,"AAAAAFhfvzc=")</f>
        <v>#REF!</v>
      </c>
      <c r="BE33" t="e">
        <f>AND(#REF!,"AAAAAFhfvzg=")</f>
        <v>#REF!</v>
      </c>
      <c r="BF33" t="e">
        <f>AND(#REF!,"AAAAAFhfvzk=")</f>
        <v>#REF!</v>
      </c>
      <c r="BG33" t="e">
        <f>AND(#REF!,"AAAAAFhfvzo=")</f>
        <v>#REF!</v>
      </c>
      <c r="BH33" t="e">
        <f>AND(#REF!,"AAAAAFhfvzs=")</f>
        <v>#REF!</v>
      </c>
      <c r="BI33" t="e">
        <f>AND(#REF!,"AAAAAFhfvzw=")</f>
        <v>#REF!</v>
      </c>
      <c r="BJ33" t="e">
        <f>AND(#REF!,"AAAAAFhfvz0=")</f>
        <v>#REF!</v>
      </c>
      <c r="BK33" t="e">
        <f>AND(#REF!,"AAAAAFhfvz4=")</f>
        <v>#REF!</v>
      </c>
      <c r="BL33" t="e">
        <f>AND(#REF!,"AAAAAFhfvz8=")</f>
        <v>#REF!</v>
      </c>
      <c r="BM33" t="e">
        <f>AND(#REF!,"AAAAAFhfv0A=")</f>
        <v>#REF!</v>
      </c>
      <c r="BN33" t="e">
        <f>AND(#REF!,"AAAAAFhfv0E=")</f>
        <v>#REF!</v>
      </c>
      <c r="BO33" t="e">
        <f>IF(#REF!,"AAAAAFhfv0I=",0)</f>
        <v>#REF!</v>
      </c>
      <c r="BP33" t="e">
        <f>AND(#REF!,"AAAAAFhfv0M=")</f>
        <v>#REF!</v>
      </c>
      <c r="BQ33" t="e">
        <f>AND(#REF!,"AAAAAFhfv0Q=")</f>
        <v>#REF!</v>
      </c>
      <c r="BR33" t="e">
        <f>AND(#REF!,"AAAAAFhfv0U=")</f>
        <v>#REF!</v>
      </c>
      <c r="BS33" t="e">
        <f>AND(#REF!,"AAAAAFhfv0Y=")</f>
        <v>#REF!</v>
      </c>
      <c r="BT33" t="e">
        <f>AND(#REF!,"AAAAAFhfv0c=")</f>
        <v>#REF!</v>
      </c>
      <c r="BU33" t="e">
        <f>AND(#REF!,"AAAAAFhfv0g=")</f>
        <v>#REF!</v>
      </c>
      <c r="BV33" t="e">
        <f>AND(#REF!,"AAAAAFhfv0k=")</f>
        <v>#REF!</v>
      </c>
      <c r="BW33" t="e">
        <f>AND(#REF!,"AAAAAFhfv0o=")</f>
        <v>#REF!</v>
      </c>
      <c r="BX33" t="e">
        <f>AND(#REF!,"AAAAAFhfv0s=")</f>
        <v>#REF!</v>
      </c>
      <c r="BY33" t="e">
        <f>AND(#REF!,"AAAAAFhfv0w=")</f>
        <v>#REF!</v>
      </c>
      <c r="BZ33" t="e">
        <f>AND(#REF!,"AAAAAFhfv00=")</f>
        <v>#REF!</v>
      </c>
      <c r="CA33" t="e">
        <f>AND(#REF!,"AAAAAFhfv04=")</f>
        <v>#REF!</v>
      </c>
      <c r="CB33" t="e">
        <f>AND(#REF!,"AAAAAFhfv08=")</f>
        <v>#REF!</v>
      </c>
      <c r="CC33" t="e">
        <f>AND(#REF!,"AAAAAFhfv1A=")</f>
        <v>#REF!</v>
      </c>
      <c r="CD33" t="e">
        <f>AND(#REF!,"AAAAAFhfv1E=")</f>
        <v>#REF!</v>
      </c>
      <c r="CE33" t="e">
        <f>AND(#REF!,"AAAAAFhfv1I=")</f>
        <v>#REF!</v>
      </c>
      <c r="CF33" t="e">
        <f>AND(#REF!,"AAAAAFhfv1M=")</f>
        <v>#REF!</v>
      </c>
      <c r="CG33" t="e">
        <f>AND(#REF!,"AAAAAFhfv1Q=")</f>
        <v>#REF!</v>
      </c>
      <c r="CH33" t="e">
        <f>AND(#REF!,"AAAAAFhfv1U=")</f>
        <v>#REF!</v>
      </c>
      <c r="CI33" t="e">
        <f>AND(#REF!,"AAAAAFhfv1Y=")</f>
        <v>#REF!</v>
      </c>
      <c r="CJ33" t="e">
        <f>AND(#REF!,"AAAAAFhfv1c=")</f>
        <v>#REF!</v>
      </c>
      <c r="CK33" t="e">
        <f>IF(#REF!,"AAAAAFhfv1g=",0)</f>
        <v>#REF!</v>
      </c>
      <c r="CL33" t="e">
        <f>AND(#REF!,"AAAAAFhfv1k=")</f>
        <v>#REF!</v>
      </c>
      <c r="CM33" t="e">
        <f>AND(#REF!,"AAAAAFhfv1o=")</f>
        <v>#REF!</v>
      </c>
      <c r="CN33" t="e">
        <f>AND(#REF!,"AAAAAFhfv1s=")</f>
        <v>#REF!</v>
      </c>
      <c r="CO33" t="e">
        <f>AND(#REF!,"AAAAAFhfv1w=")</f>
        <v>#REF!</v>
      </c>
      <c r="CP33" t="e">
        <f>AND(#REF!,"AAAAAFhfv10=")</f>
        <v>#REF!</v>
      </c>
      <c r="CQ33" t="e">
        <f>AND(#REF!,"AAAAAFhfv14=")</f>
        <v>#REF!</v>
      </c>
      <c r="CR33" t="e">
        <f>AND(#REF!,"AAAAAFhfv18=")</f>
        <v>#REF!</v>
      </c>
      <c r="CS33" t="e">
        <f>AND(#REF!,"AAAAAFhfv2A=")</f>
        <v>#REF!</v>
      </c>
      <c r="CT33" t="e">
        <f>AND(#REF!,"AAAAAFhfv2E=")</f>
        <v>#REF!</v>
      </c>
      <c r="CU33" t="e">
        <f>AND(#REF!,"AAAAAFhfv2I=")</f>
        <v>#REF!</v>
      </c>
      <c r="CV33" t="e">
        <f>AND(#REF!,"AAAAAFhfv2M=")</f>
        <v>#REF!</v>
      </c>
      <c r="CW33" t="e">
        <f>AND(#REF!,"AAAAAFhfv2Q=")</f>
        <v>#REF!</v>
      </c>
      <c r="CX33" t="e">
        <f>AND(#REF!,"AAAAAFhfv2U=")</f>
        <v>#REF!</v>
      </c>
      <c r="CY33" t="e">
        <f>AND(#REF!,"AAAAAFhfv2Y=")</f>
        <v>#REF!</v>
      </c>
      <c r="CZ33" t="e">
        <f>AND(#REF!,"AAAAAFhfv2c=")</f>
        <v>#REF!</v>
      </c>
      <c r="DA33" t="e">
        <f>AND(#REF!,"AAAAAFhfv2g=")</f>
        <v>#REF!</v>
      </c>
      <c r="DB33" t="e">
        <f>AND(#REF!,"AAAAAFhfv2k=")</f>
        <v>#REF!</v>
      </c>
      <c r="DC33" t="e">
        <f>AND(#REF!,"AAAAAFhfv2o=")</f>
        <v>#REF!</v>
      </c>
      <c r="DD33" t="e">
        <f>AND(#REF!,"AAAAAFhfv2s=")</f>
        <v>#REF!</v>
      </c>
      <c r="DE33" t="e">
        <f>AND(#REF!,"AAAAAFhfv2w=")</f>
        <v>#REF!</v>
      </c>
      <c r="DF33" t="e">
        <f>AND(#REF!,"AAAAAFhfv20=")</f>
        <v>#REF!</v>
      </c>
      <c r="DG33" t="e">
        <f>IF(#REF!,"AAAAAFhfv24=",0)</f>
        <v>#REF!</v>
      </c>
      <c r="DH33" t="e">
        <f>AND(#REF!,"AAAAAFhfv28=")</f>
        <v>#REF!</v>
      </c>
      <c r="DI33" t="e">
        <f>AND(#REF!,"AAAAAFhfv3A=")</f>
        <v>#REF!</v>
      </c>
      <c r="DJ33" t="e">
        <f>AND(#REF!,"AAAAAFhfv3E=")</f>
        <v>#REF!</v>
      </c>
      <c r="DK33" t="e">
        <f>AND(#REF!,"AAAAAFhfv3I=")</f>
        <v>#REF!</v>
      </c>
      <c r="DL33" t="e">
        <f>AND(#REF!,"AAAAAFhfv3M=")</f>
        <v>#REF!</v>
      </c>
      <c r="DM33" t="e">
        <f>AND(#REF!,"AAAAAFhfv3Q=")</f>
        <v>#REF!</v>
      </c>
      <c r="DN33" t="e">
        <f>AND(#REF!,"AAAAAFhfv3U=")</f>
        <v>#REF!</v>
      </c>
      <c r="DO33" t="e">
        <f>AND(#REF!,"AAAAAFhfv3Y=")</f>
        <v>#REF!</v>
      </c>
      <c r="DP33" t="e">
        <f>AND(#REF!,"AAAAAFhfv3c=")</f>
        <v>#REF!</v>
      </c>
      <c r="DQ33" t="e">
        <f>AND(#REF!,"AAAAAFhfv3g=")</f>
        <v>#REF!</v>
      </c>
      <c r="DR33" t="e">
        <f>AND(#REF!,"AAAAAFhfv3k=")</f>
        <v>#REF!</v>
      </c>
      <c r="DS33" t="e">
        <f>AND(#REF!,"AAAAAFhfv3o=")</f>
        <v>#REF!</v>
      </c>
      <c r="DT33" t="e">
        <f>AND(#REF!,"AAAAAFhfv3s=")</f>
        <v>#REF!</v>
      </c>
      <c r="DU33" t="e">
        <f>AND(#REF!,"AAAAAFhfv3w=")</f>
        <v>#REF!</v>
      </c>
      <c r="DV33" t="e">
        <f>AND(#REF!,"AAAAAFhfv30=")</f>
        <v>#REF!</v>
      </c>
      <c r="DW33" t="e">
        <f>AND(#REF!,"AAAAAFhfv34=")</f>
        <v>#REF!</v>
      </c>
      <c r="DX33" t="e">
        <f>AND(#REF!,"AAAAAFhfv38=")</f>
        <v>#REF!</v>
      </c>
      <c r="DY33" t="e">
        <f>AND(#REF!,"AAAAAFhfv4A=")</f>
        <v>#REF!</v>
      </c>
      <c r="DZ33" t="e">
        <f>AND(#REF!,"AAAAAFhfv4E=")</f>
        <v>#REF!</v>
      </c>
      <c r="EA33" t="e">
        <f>AND(#REF!,"AAAAAFhfv4I=")</f>
        <v>#REF!</v>
      </c>
      <c r="EB33" t="e">
        <f>AND(#REF!,"AAAAAFhfv4M=")</f>
        <v>#REF!</v>
      </c>
      <c r="EC33" t="e">
        <f>IF(#REF!,"AAAAAFhfv4Q=",0)</f>
        <v>#REF!</v>
      </c>
      <c r="ED33" t="e">
        <f>AND(#REF!,"AAAAAFhfv4U=")</f>
        <v>#REF!</v>
      </c>
      <c r="EE33" t="e">
        <f>AND(#REF!,"AAAAAFhfv4Y=")</f>
        <v>#REF!</v>
      </c>
      <c r="EF33" t="e">
        <f>AND(#REF!,"AAAAAFhfv4c=")</f>
        <v>#REF!</v>
      </c>
      <c r="EG33" t="e">
        <f>AND(#REF!,"AAAAAFhfv4g=")</f>
        <v>#REF!</v>
      </c>
      <c r="EH33" t="e">
        <f>AND(#REF!,"AAAAAFhfv4k=")</f>
        <v>#REF!</v>
      </c>
      <c r="EI33" t="e">
        <f>AND(#REF!,"AAAAAFhfv4o=")</f>
        <v>#REF!</v>
      </c>
      <c r="EJ33" t="e">
        <f>AND(#REF!,"AAAAAFhfv4s=")</f>
        <v>#REF!</v>
      </c>
      <c r="EK33" t="e">
        <f>AND(#REF!,"AAAAAFhfv4w=")</f>
        <v>#REF!</v>
      </c>
      <c r="EL33" t="e">
        <f>AND(#REF!,"AAAAAFhfv40=")</f>
        <v>#REF!</v>
      </c>
      <c r="EM33" t="e">
        <f>AND(#REF!,"AAAAAFhfv44=")</f>
        <v>#REF!</v>
      </c>
      <c r="EN33" t="e">
        <f>AND(#REF!,"AAAAAFhfv48=")</f>
        <v>#REF!</v>
      </c>
      <c r="EO33" t="e">
        <f>AND(#REF!,"AAAAAFhfv5A=")</f>
        <v>#REF!</v>
      </c>
      <c r="EP33" t="e">
        <f>AND(#REF!,"AAAAAFhfv5E=")</f>
        <v>#REF!</v>
      </c>
      <c r="EQ33" t="e">
        <f>AND(#REF!,"AAAAAFhfv5I=")</f>
        <v>#REF!</v>
      </c>
      <c r="ER33" t="e">
        <f>AND(#REF!,"AAAAAFhfv5M=")</f>
        <v>#REF!</v>
      </c>
      <c r="ES33" t="e">
        <f>AND(#REF!,"AAAAAFhfv5Q=")</f>
        <v>#REF!</v>
      </c>
      <c r="ET33" t="e">
        <f>AND(#REF!,"AAAAAFhfv5U=")</f>
        <v>#REF!</v>
      </c>
      <c r="EU33" t="e">
        <f>AND(#REF!,"AAAAAFhfv5Y=")</f>
        <v>#REF!</v>
      </c>
      <c r="EV33" t="e">
        <f>AND(#REF!,"AAAAAFhfv5c=")</f>
        <v>#REF!</v>
      </c>
      <c r="EW33" t="e">
        <f>AND(#REF!,"AAAAAFhfv5g=")</f>
        <v>#REF!</v>
      </c>
      <c r="EX33" t="e">
        <f>AND(#REF!,"AAAAAFhfv5k=")</f>
        <v>#REF!</v>
      </c>
      <c r="EY33" t="e">
        <f>IF(#REF!,"AAAAAFhfv5o=",0)</f>
        <v>#REF!</v>
      </c>
      <c r="EZ33" t="e">
        <f>AND(#REF!,"AAAAAFhfv5s=")</f>
        <v>#REF!</v>
      </c>
      <c r="FA33" t="e">
        <f>AND(#REF!,"AAAAAFhfv5w=")</f>
        <v>#REF!</v>
      </c>
      <c r="FB33" t="e">
        <f>AND(#REF!,"AAAAAFhfv50=")</f>
        <v>#REF!</v>
      </c>
      <c r="FC33" t="e">
        <f>AND(#REF!,"AAAAAFhfv54=")</f>
        <v>#REF!</v>
      </c>
      <c r="FD33" t="e">
        <f>AND(#REF!,"AAAAAFhfv58=")</f>
        <v>#REF!</v>
      </c>
      <c r="FE33" t="e">
        <f>AND(#REF!,"AAAAAFhfv6A=")</f>
        <v>#REF!</v>
      </c>
      <c r="FF33" t="e">
        <f>AND(#REF!,"AAAAAFhfv6E=")</f>
        <v>#REF!</v>
      </c>
      <c r="FG33" t="e">
        <f>AND(#REF!,"AAAAAFhfv6I=")</f>
        <v>#REF!</v>
      </c>
      <c r="FH33" t="e">
        <f>AND(#REF!,"AAAAAFhfv6M=")</f>
        <v>#REF!</v>
      </c>
      <c r="FI33" t="e">
        <f>AND(#REF!,"AAAAAFhfv6Q=")</f>
        <v>#REF!</v>
      </c>
      <c r="FJ33" t="e">
        <f>AND(#REF!,"AAAAAFhfv6U=")</f>
        <v>#REF!</v>
      </c>
      <c r="FK33" t="e">
        <f>AND(#REF!,"AAAAAFhfv6Y=")</f>
        <v>#REF!</v>
      </c>
      <c r="FL33" t="e">
        <f>AND(#REF!,"AAAAAFhfv6c=")</f>
        <v>#REF!</v>
      </c>
      <c r="FM33" t="e">
        <f>AND(#REF!,"AAAAAFhfv6g=")</f>
        <v>#REF!</v>
      </c>
      <c r="FN33" t="e">
        <f>AND(#REF!,"AAAAAFhfv6k=")</f>
        <v>#REF!</v>
      </c>
      <c r="FO33" t="e">
        <f>AND(#REF!,"AAAAAFhfv6o=")</f>
        <v>#REF!</v>
      </c>
      <c r="FP33" t="e">
        <f>AND(#REF!,"AAAAAFhfv6s=")</f>
        <v>#REF!</v>
      </c>
      <c r="FQ33" t="e">
        <f>AND(#REF!,"AAAAAFhfv6w=")</f>
        <v>#REF!</v>
      </c>
      <c r="FR33" t="e">
        <f>AND(#REF!,"AAAAAFhfv60=")</f>
        <v>#REF!</v>
      </c>
      <c r="FS33" t="e">
        <f>AND(#REF!,"AAAAAFhfv64=")</f>
        <v>#REF!</v>
      </c>
      <c r="FT33" t="e">
        <f>AND(#REF!,"AAAAAFhfv68=")</f>
        <v>#REF!</v>
      </c>
      <c r="FU33" t="e">
        <f>IF(#REF!,"AAAAAFhfv7A=",0)</f>
        <v>#REF!</v>
      </c>
      <c r="FV33" t="e">
        <f>AND(#REF!,"AAAAAFhfv7E=")</f>
        <v>#REF!</v>
      </c>
      <c r="FW33" t="e">
        <f>AND(#REF!,"AAAAAFhfv7I=")</f>
        <v>#REF!</v>
      </c>
      <c r="FX33" t="e">
        <f>AND(#REF!,"AAAAAFhfv7M=")</f>
        <v>#REF!</v>
      </c>
      <c r="FY33" t="e">
        <f>AND(#REF!,"AAAAAFhfv7Q=")</f>
        <v>#REF!</v>
      </c>
      <c r="FZ33" t="e">
        <f>AND(#REF!,"AAAAAFhfv7U=")</f>
        <v>#REF!</v>
      </c>
      <c r="GA33" t="e">
        <f>AND(#REF!,"AAAAAFhfv7Y=")</f>
        <v>#REF!</v>
      </c>
      <c r="GB33" t="e">
        <f>AND(#REF!,"AAAAAFhfv7c=")</f>
        <v>#REF!</v>
      </c>
      <c r="GC33" t="e">
        <f>AND(#REF!,"AAAAAFhfv7g=")</f>
        <v>#REF!</v>
      </c>
      <c r="GD33" t="e">
        <f>AND(#REF!,"AAAAAFhfv7k=")</f>
        <v>#REF!</v>
      </c>
      <c r="GE33" t="e">
        <f>AND(#REF!,"AAAAAFhfv7o=")</f>
        <v>#REF!</v>
      </c>
      <c r="GF33" t="e">
        <f>AND(#REF!,"AAAAAFhfv7s=")</f>
        <v>#REF!</v>
      </c>
      <c r="GG33" t="e">
        <f>AND(#REF!,"AAAAAFhfv7w=")</f>
        <v>#REF!</v>
      </c>
      <c r="GH33" t="e">
        <f>AND(#REF!,"AAAAAFhfv70=")</f>
        <v>#REF!</v>
      </c>
      <c r="GI33" t="e">
        <f>AND(#REF!,"AAAAAFhfv74=")</f>
        <v>#REF!</v>
      </c>
      <c r="GJ33" t="e">
        <f>AND(#REF!,"AAAAAFhfv78=")</f>
        <v>#REF!</v>
      </c>
      <c r="GK33" t="e">
        <f>AND(#REF!,"AAAAAFhfv8A=")</f>
        <v>#REF!</v>
      </c>
      <c r="GL33" t="e">
        <f>AND(#REF!,"AAAAAFhfv8E=")</f>
        <v>#REF!</v>
      </c>
      <c r="GM33" t="e">
        <f>AND(#REF!,"AAAAAFhfv8I=")</f>
        <v>#REF!</v>
      </c>
      <c r="GN33" t="e">
        <f>AND(#REF!,"AAAAAFhfv8M=")</f>
        <v>#REF!</v>
      </c>
      <c r="GO33" t="e">
        <f>AND(#REF!,"AAAAAFhfv8Q=")</f>
        <v>#REF!</v>
      </c>
      <c r="GP33" t="e">
        <f>AND(#REF!,"AAAAAFhfv8U=")</f>
        <v>#REF!</v>
      </c>
      <c r="GQ33" t="e">
        <f>IF(#REF!,"AAAAAFhfv8Y=",0)</f>
        <v>#REF!</v>
      </c>
      <c r="GR33" t="e">
        <f>AND(#REF!,"AAAAAFhfv8c=")</f>
        <v>#REF!</v>
      </c>
      <c r="GS33" t="e">
        <f>AND(#REF!,"AAAAAFhfv8g=")</f>
        <v>#REF!</v>
      </c>
      <c r="GT33" t="e">
        <f>AND(#REF!,"AAAAAFhfv8k=")</f>
        <v>#REF!</v>
      </c>
      <c r="GU33" t="e">
        <f>AND(#REF!,"AAAAAFhfv8o=")</f>
        <v>#REF!</v>
      </c>
      <c r="GV33" t="e">
        <f>AND(#REF!,"AAAAAFhfv8s=")</f>
        <v>#REF!</v>
      </c>
      <c r="GW33" t="e">
        <f>AND(#REF!,"AAAAAFhfv8w=")</f>
        <v>#REF!</v>
      </c>
      <c r="GX33" t="e">
        <f>AND(#REF!,"AAAAAFhfv80=")</f>
        <v>#REF!</v>
      </c>
      <c r="GY33" t="e">
        <f>AND(#REF!,"AAAAAFhfv84=")</f>
        <v>#REF!</v>
      </c>
      <c r="GZ33" t="e">
        <f>AND(#REF!,"AAAAAFhfv88=")</f>
        <v>#REF!</v>
      </c>
      <c r="HA33" t="e">
        <f>AND(#REF!,"AAAAAFhfv9A=")</f>
        <v>#REF!</v>
      </c>
      <c r="HB33" t="e">
        <f>AND(#REF!,"AAAAAFhfv9E=")</f>
        <v>#REF!</v>
      </c>
      <c r="HC33" t="e">
        <f>AND(#REF!,"AAAAAFhfv9I=")</f>
        <v>#REF!</v>
      </c>
      <c r="HD33" t="e">
        <f>AND(#REF!,"AAAAAFhfv9M=")</f>
        <v>#REF!</v>
      </c>
      <c r="HE33" t="e">
        <f>AND(#REF!,"AAAAAFhfv9Q=")</f>
        <v>#REF!</v>
      </c>
      <c r="HF33" t="e">
        <f>AND(#REF!,"AAAAAFhfv9U=")</f>
        <v>#REF!</v>
      </c>
      <c r="HG33" t="e">
        <f>AND(#REF!,"AAAAAFhfv9Y=")</f>
        <v>#REF!</v>
      </c>
      <c r="HH33" t="e">
        <f>AND(#REF!,"AAAAAFhfv9c=")</f>
        <v>#REF!</v>
      </c>
      <c r="HI33" t="e">
        <f>AND(#REF!,"AAAAAFhfv9g=")</f>
        <v>#REF!</v>
      </c>
      <c r="HJ33" t="e">
        <f>AND(#REF!,"AAAAAFhfv9k=")</f>
        <v>#REF!</v>
      </c>
      <c r="HK33" t="e">
        <f>AND(#REF!,"AAAAAFhfv9o=")</f>
        <v>#REF!</v>
      </c>
      <c r="HL33" t="e">
        <f>AND(#REF!,"AAAAAFhfv9s=")</f>
        <v>#REF!</v>
      </c>
      <c r="HM33" t="e">
        <f>IF(#REF!,"AAAAAFhfv9w=",0)</f>
        <v>#REF!</v>
      </c>
      <c r="HN33" t="e">
        <f>AND(#REF!,"AAAAAFhfv90=")</f>
        <v>#REF!</v>
      </c>
      <c r="HO33" t="e">
        <f>AND(#REF!,"AAAAAFhfv94=")</f>
        <v>#REF!</v>
      </c>
      <c r="HP33" t="e">
        <f>AND(#REF!,"AAAAAFhfv98=")</f>
        <v>#REF!</v>
      </c>
      <c r="HQ33" t="e">
        <f>AND(#REF!,"AAAAAFhfv+A=")</f>
        <v>#REF!</v>
      </c>
      <c r="HR33" t="e">
        <f>AND(#REF!,"AAAAAFhfv+E=")</f>
        <v>#REF!</v>
      </c>
      <c r="HS33" t="e">
        <f>AND(#REF!,"AAAAAFhfv+I=")</f>
        <v>#REF!</v>
      </c>
      <c r="HT33" t="e">
        <f>AND(#REF!,"AAAAAFhfv+M=")</f>
        <v>#REF!</v>
      </c>
      <c r="HU33" t="e">
        <f>AND(#REF!,"AAAAAFhfv+Q=")</f>
        <v>#REF!</v>
      </c>
      <c r="HV33" t="e">
        <f>AND(#REF!,"AAAAAFhfv+U=")</f>
        <v>#REF!</v>
      </c>
      <c r="HW33" t="e">
        <f>AND(#REF!,"AAAAAFhfv+Y=")</f>
        <v>#REF!</v>
      </c>
      <c r="HX33" t="e">
        <f>AND(#REF!,"AAAAAFhfv+c=")</f>
        <v>#REF!</v>
      </c>
      <c r="HY33" t="e">
        <f>AND(#REF!,"AAAAAFhfv+g=")</f>
        <v>#REF!</v>
      </c>
      <c r="HZ33" t="e">
        <f>AND(#REF!,"AAAAAFhfv+k=")</f>
        <v>#REF!</v>
      </c>
      <c r="IA33" t="e">
        <f>AND(#REF!,"AAAAAFhfv+o=")</f>
        <v>#REF!</v>
      </c>
      <c r="IB33" t="e">
        <f>AND(#REF!,"AAAAAFhfv+s=")</f>
        <v>#REF!</v>
      </c>
      <c r="IC33" t="e">
        <f>AND(#REF!,"AAAAAFhfv+w=")</f>
        <v>#REF!</v>
      </c>
      <c r="ID33" t="e">
        <f>AND(#REF!,"AAAAAFhfv+0=")</f>
        <v>#REF!</v>
      </c>
      <c r="IE33" t="e">
        <f>AND(#REF!,"AAAAAFhfv+4=")</f>
        <v>#REF!</v>
      </c>
      <c r="IF33" t="e">
        <f>AND(#REF!,"AAAAAFhfv+8=")</f>
        <v>#REF!</v>
      </c>
      <c r="IG33" t="e">
        <f>AND(#REF!,"AAAAAFhfv/A=")</f>
        <v>#REF!</v>
      </c>
      <c r="IH33" t="e">
        <f>AND(#REF!,"AAAAAFhfv/E=")</f>
        <v>#REF!</v>
      </c>
      <c r="II33" t="e">
        <f>IF(#REF!,"AAAAAFhfv/I=",0)</f>
        <v>#REF!</v>
      </c>
      <c r="IJ33" t="e">
        <f>AND(#REF!,"AAAAAFhfv/M=")</f>
        <v>#REF!</v>
      </c>
      <c r="IK33" t="e">
        <f>AND(#REF!,"AAAAAFhfv/Q=")</f>
        <v>#REF!</v>
      </c>
      <c r="IL33" t="e">
        <f>AND(#REF!,"AAAAAFhfv/U=")</f>
        <v>#REF!</v>
      </c>
      <c r="IM33" t="e">
        <f>AND(#REF!,"AAAAAFhfv/Y=")</f>
        <v>#REF!</v>
      </c>
      <c r="IN33" t="e">
        <f>AND(#REF!,"AAAAAFhfv/c=")</f>
        <v>#REF!</v>
      </c>
      <c r="IO33" t="e">
        <f>AND(#REF!,"AAAAAFhfv/g=")</f>
        <v>#REF!</v>
      </c>
      <c r="IP33" t="e">
        <f>AND(#REF!,"AAAAAFhfv/k=")</f>
        <v>#REF!</v>
      </c>
      <c r="IQ33" t="e">
        <f>AND(#REF!,"AAAAAFhfv/o=")</f>
        <v>#REF!</v>
      </c>
      <c r="IR33" t="e">
        <f>AND(#REF!,"AAAAAFhfv/s=")</f>
        <v>#REF!</v>
      </c>
      <c r="IS33" t="e">
        <f>AND(#REF!,"AAAAAFhfv/w=")</f>
        <v>#REF!</v>
      </c>
      <c r="IT33" t="e">
        <f>AND(#REF!,"AAAAAFhfv/0=")</f>
        <v>#REF!</v>
      </c>
      <c r="IU33" t="e">
        <f>AND(#REF!,"AAAAAFhfv/4=")</f>
        <v>#REF!</v>
      </c>
      <c r="IV33" t="e">
        <f>AND(#REF!,"AAAAAFhfv/8=")</f>
        <v>#REF!</v>
      </c>
    </row>
    <row r="34" spans="1:256">
      <c r="A34" t="e">
        <f>AND(#REF!,"AAAAAGv29wA=")</f>
        <v>#REF!</v>
      </c>
      <c r="B34" t="e">
        <f>AND(#REF!,"AAAAAGv29wE=")</f>
        <v>#REF!</v>
      </c>
      <c r="C34" t="e">
        <f>AND(#REF!,"AAAAAGv29wI=")</f>
        <v>#REF!</v>
      </c>
      <c r="D34" t="e">
        <f>AND(#REF!,"AAAAAGv29wM=")</f>
        <v>#REF!</v>
      </c>
      <c r="E34" t="e">
        <f>AND(#REF!,"AAAAAGv29wQ=")</f>
        <v>#REF!</v>
      </c>
      <c r="F34" t="e">
        <f>AND(#REF!,"AAAAAGv29wU=")</f>
        <v>#REF!</v>
      </c>
      <c r="G34" t="e">
        <f>AND(#REF!,"AAAAAGv29wY=")</f>
        <v>#REF!</v>
      </c>
      <c r="H34" t="e">
        <f>AND(#REF!,"AAAAAGv29wc=")</f>
        <v>#REF!</v>
      </c>
      <c r="I34" t="e">
        <f>IF(#REF!,"AAAAAGv29wg=",0)</f>
        <v>#REF!</v>
      </c>
      <c r="J34" t="e">
        <f>AND(#REF!,"AAAAAGv29wk=")</f>
        <v>#REF!</v>
      </c>
      <c r="K34" t="e">
        <f>AND(#REF!,"AAAAAGv29wo=")</f>
        <v>#REF!</v>
      </c>
      <c r="L34" t="e">
        <f>AND(#REF!,"AAAAAGv29ws=")</f>
        <v>#REF!</v>
      </c>
      <c r="M34" t="e">
        <f>AND(#REF!,"AAAAAGv29ww=")</f>
        <v>#REF!</v>
      </c>
      <c r="N34" t="e">
        <f>AND(#REF!,"AAAAAGv29w0=")</f>
        <v>#REF!</v>
      </c>
      <c r="O34" t="e">
        <f>AND(#REF!,"AAAAAGv29w4=")</f>
        <v>#REF!</v>
      </c>
      <c r="P34" t="e">
        <f>AND(#REF!,"AAAAAGv29w8=")</f>
        <v>#REF!</v>
      </c>
      <c r="Q34" t="e">
        <f>AND(#REF!,"AAAAAGv29xA=")</f>
        <v>#REF!</v>
      </c>
      <c r="R34" t="e">
        <f>AND(#REF!,"AAAAAGv29xE=")</f>
        <v>#REF!</v>
      </c>
      <c r="S34" t="e">
        <f>AND(#REF!,"AAAAAGv29xI=")</f>
        <v>#REF!</v>
      </c>
      <c r="T34" t="e">
        <f>AND(#REF!,"AAAAAGv29xM=")</f>
        <v>#REF!</v>
      </c>
      <c r="U34" t="e">
        <f>AND(#REF!,"AAAAAGv29xQ=")</f>
        <v>#REF!</v>
      </c>
      <c r="V34" t="e">
        <f>AND(#REF!,"AAAAAGv29xU=")</f>
        <v>#REF!</v>
      </c>
      <c r="W34" t="e">
        <f>AND(#REF!,"AAAAAGv29xY=")</f>
        <v>#REF!</v>
      </c>
      <c r="X34" t="e">
        <f>AND(#REF!,"AAAAAGv29xc=")</f>
        <v>#REF!</v>
      </c>
      <c r="Y34" t="e">
        <f>AND(#REF!,"AAAAAGv29xg=")</f>
        <v>#REF!</v>
      </c>
      <c r="Z34" t="e">
        <f>AND(#REF!,"AAAAAGv29xk=")</f>
        <v>#REF!</v>
      </c>
      <c r="AA34" t="e">
        <f>AND(#REF!,"AAAAAGv29xo=")</f>
        <v>#REF!</v>
      </c>
      <c r="AB34" t="e">
        <f>AND(#REF!,"AAAAAGv29xs=")</f>
        <v>#REF!</v>
      </c>
      <c r="AC34" t="e">
        <f>AND(#REF!,"AAAAAGv29xw=")</f>
        <v>#REF!</v>
      </c>
      <c r="AD34" t="e">
        <f>AND(#REF!,"AAAAAGv29x0=")</f>
        <v>#REF!</v>
      </c>
      <c r="AE34" t="e">
        <f>IF(#REF!,"AAAAAGv29x4=",0)</f>
        <v>#REF!</v>
      </c>
      <c r="AF34" t="e">
        <f>AND(#REF!,"AAAAAGv29x8=")</f>
        <v>#REF!</v>
      </c>
      <c r="AG34" t="e">
        <f>AND(#REF!,"AAAAAGv29yA=")</f>
        <v>#REF!</v>
      </c>
      <c r="AH34" t="e">
        <f>AND(#REF!,"AAAAAGv29yE=")</f>
        <v>#REF!</v>
      </c>
      <c r="AI34" t="e">
        <f>AND(#REF!,"AAAAAGv29yI=")</f>
        <v>#REF!</v>
      </c>
      <c r="AJ34" t="e">
        <f>AND(#REF!,"AAAAAGv29yM=")</f>
        <v>#REF!</v>
      </c>
      <c r="AK34" t="e">
        <f>AND(#REF!,"AAAAAGv29yQ=")</f>
        <v>#REF!</v>
      </c>
      <c r="AL34" t="e">
        <f>AND(#REF!,"AAAAAGv29yU=")</f>
        <v>#REF!</v>
      </c>
      <c r="AM34" t="e">
        <f>AND(#REF!,"AAAAAGv29yY=")</f>
        <v>#REF!</v>
      </c>
      <c r="AN34" t="e">
        <f>AND(#REF!,"AAAAAGv29yc=")</f>
        <v>#REF!</v>
      </c>
      <c r="AO34" t="e">
        <f>AND(#REF!,"AAAAAGv29yg=")</f>
        <v>#REF!</v>
      </c>
      <c r="AP34" t="e">
        <f>AND(#REF!,"AAAAAGv29yk=")</f>
        <v>#REF!</v>
      </c>
      <c r="AQ34" t="e">
        <f>AND(#REF!,"AAAAAGv29yo=")</f>
        <v>#REF!</v>
      </c>
      <c r="AR34" t="e">
        <f>AND(#REF!,"AAAAAGv29ys=")</f>
        <v>#REF!</v>
      </c>
      <c r="AS34" t="e">
        <f>AND(#REF!,"AAAAAGv29yw=")</f>
        <v>#REF!</v>
      </c>
      <c r="AT34" t="e">
        <f>AND(#REF!,"AAAAAGv29y0=")</f>
        <v>#REF!</v>
      </c>
      <c r="AU34" t="e">
        <f>AND(#REF!,"AAAAAGv29y4=")</f>
        <v>#REF!</v>
      </c>
      <c r="AV34" t="e">
        <f>AND(#REF!,"AAAAAGv29y8=")</f>
        <v>#REF!</v>
      </c>
      <c r="AW34" t="e">
        <f>AND(#REF!,"AAAAAGv29zA=")</f>
        <v>#REF!</v>
      </c>
      <c r="AX34" t="e">
        <f>AND(#REF!,"AAAAAGv29zE=")</f>
        <v>#REF!</v>
      </c>
      <c r="AY34" t="e">
        <f>AND(#REF!,"AAAAAGv29zI=")</f>
        <v>#REF!</v>
      </c>
      <c r="AZ34" t="e">
        <f>AND(#REF!,"AAAAAGv29zM=")</f>
        <v>#REF!</v>
      </c>
      <c r="BA34" t="e">
        <f>IF(#REF!,"AAAAAGv29zQ=",0)</f>
        <v>#REF!</v>
      </c>
      <c r="BB34" t="e">
        <f>AND(#REF!,"AAAAAGv29zU=")</f>
        <v>#REF!</v>
      </c>
      <c r="BC34" t="e">
        <f>AND(#REF!,"AAAAAGv29zY=")</f>
        <v>#REF!</v>
      </c>
      <c r="BD34" t="e">
        <f>AND(#REF!,"AAAAAGv29zc=")</f>
        <v>#REF!</v>
      </c>
      <c r="BE34" t="e">
        <f>AND(#REF!,"AAAAAGv29zg=")</f>
        <v>#REF!</v>
      </c>
      <c r="BF34" t="e">
        <f>AND(#REF!,"AAAAAGv29zk=")</f>
        <v>#REF!</v>
      </c>
      <c r="BG34" t="e">
        <f>AND(#REF!,"AAAAAGv29zo=")</f>
        <v>#REF!</v>
      </c>
      <c r="BH34" t="e">
        <f>AND(#REF!,"AAAAAGv29zs=")</f>
        <v>#REF!</v>
      </c>
      <c r="BI34" t="e">
        <f>AND(#REF!,"AAAAAGv29zw=")</f>
        <v>#REF!</v>
      </c>
      <c r="BJ34" t="e">
        <f>AND(#REF!,"AAAAAGv29z0=")</f>
        <v>#REF!</v>
      </c>
      <c r="BK34" t="e">
        <f>AND(#REF!,"AAAAAGv29z4=")</f>
        <v>#REF!</v>
      </c>
      <c r="BL34" t="e">
        <f>AND(#REF!,"AAAAAGv29z8=")</f>
        <v>#REF!</v>
      </c>
      <c r="BM34" t="e">
        <f>AND(#REF!,"AAAAAGv290A=")</f>
        <v>#REF!</v>
      </c>
      <c r="BN34" t="e">
        <f>AND(#REF!,"AAAAAGv290E=")</f>
        <v>#REF!</v>
      </c>
      <c r="BO34" t="e">
        <f>AND(#REF!,"AAAAAGv290I=")</f>
        <v>#REF!</v>
      </c>
      <c r="BP34" t="e">
        <f>AND(#REF!,"AAAAAGv290M=")</f>
        <v>#REF!</v>
      </c>
      <c r="BQ34" t="e">
        <f>AND(#REF!,"AAAAAGv290Q=")</f>
        <v>#REF!</v>
      </c>
      <c r="BR34" t="e">
        <f>AND(#REF!,"AAAAAGv290U=")</f>
        <v>#REF!</v>
      </c>
      <c r="BS34" t="e">
        <f>AND(#REF!,"AAAAAGv290Y=")</f>
        <v>#REF!</v>
      </c>
      <c r="BT34" t="e">
        <f>AND(#REF!,"AAAAAGv290c=")</f>
        <v>#REF!</v>
      </c>
      <c r="BU34" t="e">
        <f>AND(#REF!,"AAAAAGv290g=")</f>
        <v>#REF!</v>
      </c>
      <c r="BV34" t="e">
        <f>AND(#REF!,"AAAAAGv290k=")</f>
        <v>#REF!</v>
      </c>
      <c r="BW34" t="e">
        <f>IF(#REF!,"AAAAAGv290o=",0)</f>
        <v>#REF!</v>
      </c>
      <c r="BX34" t="e">
        <f>AND(#REF!,"AAAAAGv290s=")</f>
        <v>#REF!</v>
      </c>
      <c r="BY34" t="e">
        <f>AND(#REF!,"AAAAAGv290w=")</f>
        <v>#REF!</v>
      </c>
      <c r="BZ34" t="e">
        <f>AND(#REF!,"AAAAAGv2900=")</f>
        <v>#REF!</v>
      </c>
      <c r="CA34" t="e">
        <f>AND(#REF!,"AAAAAGv2904=")</f>
        <v>#REF!</v>
      </c>
      <c r="CB34" t="e">
        <f>AND(#REF!,"AAAAAGv2908=")</f>
        <v>#REF!</v>
      </c>
      <c r="CC34" t="e">
        <f>AND(#REF!,"AAAAAGv291A=")</f>
        <v>#REF!</v>
      </c>
      <c r="CD34" t="e">
        <f>AND(#REF!,"AAAAAGv291E=")</f>
        <v>#REF!</v>
      </c>
      <c r="CE34" t="e">
        <f>AND(#REF!,"AAAAAGv291I=")</f>
        <v>#REF!</v>
      </c>
      <c r="CF34" t="e">
        <f>AND(#REF!,"AAAAAGv291M=")</f>
        <v>#REF!</v>
      </c>
      <c r="CG34" t="e">
        <f>AND(#REF!,"AAAAAGv291Q=")</f>
        <v>#REF!</v>
      </c>
      <c r="CH34" t="e">
        <f>AND(#REF!,"AAAAAGv291U=")</f>
        <v>#REF!</v>
      </c>
      <c r="CI34" t="e">
        <f>AND(#REF!,"AAAAAGv291Y=")</f>
        <v>#REF!</v>
      </c>
      <c r="CJ34" t="e">
        <f>AND(#REF!,"AAAAAGv291c=")</f>
        <v>#REF!</v>
      </c>
      <c r="CK34" t="e">
        <f>AND(#REF!,"AAAAAGv291g=")</f>
        <v>#REF!</v>
      </c>
      <c r="CL34" t="e">
        <f>AND(#REF!,"AAAAAGv291k=")</f>
        <v>#REF!</v>
      </c>
      <c r="CM34" t="e">
        <f>AND(#REF!,"AAAAAGv291o=")</f>
        <v>#REF!</v>
      </c>
      <c r="CN34" t="e">
        <f>AND(#REF!,"AAAAAGv291s=")</f>
        <v>#REF!</v>
      </c>
      <c r="CO34" t="e">
        <f>AND(#REF!,"AAAAAGv291w=")</f>
        <v>#REF!</v>
      </c>
      <c r="CP34" t="e">
        <f>AND(#REF!,"AAAAAGv2910=")</f>
        <v>#REF!</v>
      </c>
      <c r="CQ34" t="e">
        <f>AND(#REF!,"AAAAAGv2914=")</f>
        <v>#REF!</v>
      </c>
      <c r="CR34" t="e">
        <f>AND(#REF!,"AAAAAGv2918=")</f>
        <v>#REF!</v>
      </c>
      <c r="CS34" t="e">
        <f>IF(#REF!,"AAAAAGv292A=",0)</f>
        <v>#REF!</v>
      </c>
      <c r="CT34" t="e">
        <f>AND(#REF!,"AAAAAGv292E=")</f>
        <v>#REF!</v>
      </c>
      <c r="CU34" t="e">
        <f>AND(#REF!,"AAAAAGv292I=")</f>
        <v>#REF!</v>
      </c>
      <c r="CV34" t="e">
        <f>AND(#REF!,"AAAAAGv292M=")</f>
        <v>#REF!</v>
      </c>
      <c r="CW34" t="e">
        <f>AND(#REF!,"AAAAAGv292Q=")</f>
        <v>#REF!</v>
      </c>
      <c r="CX34" t="e">
        <f>AND(#REF!,"AAAAAGv292U=")</f>
        <v>#REF!</v>
      </c>
      <c r="CY34" t="e">
        <f>AND(#REF!,"AAAAAGv292Y=")</f>
        <v>#REF!</v>
      </c>
      <c r="CZ34" t="e">
        <f>AND(#REF!,"AAAAAGv292c=")</f>
        <v>#REF!</v>
      </c>
      <c r="DA34" t="e">
        <f>AND(#REF!,"AAAAAGv292g=")</f>
        <v>#REF!</v>
      </c>
      <c r="DB34" t="e">
        <f>AND(#REF!,"AAAAAGv292k=")</f>
        <v>#REF!</v>
      </c>
      <c r="DC34" t="e">
        <f>AND(#REF!,"AAAAAGv292o=")</f>
        <v>#REF!</v>
      </c>
      <c r="DD34" t="e">
        <f>AND(#REF!,"AAAAAGv292s=")</f>
        <v>#REF!</v>
      </c>
      <c r="DE34" t="e">
        <f>AND(#REF!,"AAAAAGv292w=")</f>
        <v>#REF!</v>
      </c>
      <c r="DF34" t="e">
        <f>AND(#REF!,"AAAAAGv2920=")</f>
        <v>#REF!</v>
      </c>
      <c r="DG34" t="e">
        <f>AND(#REF!,"AAAAAGv2924=")</f>
        <v>#REF!</v>
      </c>
      <c r="DH34" t="e">
        <f>AND(#REF!,"AAAAAGv2928=")</f>
        <v>#REF!</v>
      </c>
      <c r="DI34" t="e">
        <f>AND(#REF!,"AAAAAGv293A=")</f>
        <v>#REF!</v>
      </c>
      <c r="DJ34" t="e">
        <f>AND(#REF!,"AAAAAGv293E=")</f>
        <v>#REF!</v>
      </c>
      <c r="DK34" t="e">
        <f>AND(#REF!,"AAAAAGv293I=")</f>
        <v>#REF!</v>
      </c>
      <c r="DL34" t="e">
        <f>AND(#REF!,"AAAAAGv293M=")</f>
        <v>#REF!</v>
      </c>
      <c r="DM34" t="e">
        <f>AND(#REF!,"AAAAAGv293Q=")</f>
        <v>#REF!</v>
      </c>
      <c r="DN34" t="e">
        <f>AND(#REF!,"AAAAAGv293U=")</f>
        <v>#REF!</v>
      </c>
      <c r="DO34" t="e">
        <f>IF(#REF!,"AAAAAGv293Y=",0)</f>
        <v>#REF!</v>
      </c>
      <c r="DP34" t="e">
        <f>AND(#REF!,"AAAAAGv293c=")</f>
        <v>#REF!</v>
      </c>
      <c r="DQ34" t="e">
        <f>AND(#REF!,"AAAAAGv293g=")</f>
        <v>#REF!</v>
      </c>
      <c r="DR34" t="e">
        <f>AND(#REF!,"AAAAAGv293k=")</f>
        <v>#REF!</v>
      </c>
      <c r="DS34" t="e">
        <f>AND(#REF!,"AAAAAGv293o=")</f>
        <v>#REF!</v>
      </c>
      <c r="DT34" t="e">
        <f>AND(#REF!,"AAAAAGv293s=")</f>
        <v>#REF!</v>
      </c>
      <c r="DU34" t="e">
        <f>AND(#REF!,"AAAAAGv293w=")</f>
        <v>#REF!</v>
      </c>
      <c r="DV34" t="e">
        <f>AND(#REF!,"AAAAAGv2930=")</f>
        <v>#REF!</v>
      </c>
      <c r="DW34" t="e">
        <f>AND(#REF!,"AAAAAGv2934=")</f>
        <v>#REF!</v>
      </c>
      <c r="DX34" t="e">
        <f>AND(#REF!,"AAAAAGv2938=")</f>
        <v>#REF!</v>
      </c>
      <c r="DY34" t="e">
        <f>AND(#REF!,"AAAAAGv294A=")</f>
        <v>#REF!</v>
      </c>
      <c r="DZ34" t="e">
        <f>AND(#REF!,"AAAAAGv294E=")</f>
        <v>#REF!</v>
      </c>
      <c r="EA34" t="e">
        <f>AND(#REF!,"AAAAAGv294I=")</f>
        <v>#REF!</v>
      </c>
      <c r="EB34" t="e">
        <f>AND(#REF!,"AAAAAGv294M=")</f>
        <v>#REF!</v>
      </c>
      <c r="EC34" t="e">
        <f>AND(#REF!,"AAAAAGv294Q=")</f>
        <v>#REF!</v>
      </c>
      <c r="ED34" t="e">
        <f>AND(#REF!,"AAAAAGv294U=")</f>
        <v>#REF!</v>
      </c>
      <c r="EE34" t="e">
        <f>AND(#REF!,"AAAAAGv294Y=")</f>
        <v>#REF!</v>
      </c>
      <c r="EF34" t="e">
        <f>AND(#REF!,"AAAAAGv294c=")</f>
        <v>#REF!</v>
      </c>
      <c r="EG34" t="e">
        <f>AND(#REF!,"AAAAAGv294g=")</f>
        <v>#REF!</v>
      </c>
      <c r="EH34" t="e">
        <f>AND(#REF!,"AAAAAGv294k=")</f>
        <v>#REF!</v>
      </c>
      <c r="EI34" t="e">
        <f>AND(#REF!,"AAAAAGv294o=")</f>
        <v>#REF!</v>
      </c>
      <c r="EJ34" t="e">
        <f>AND(#REF!,"AAAAAGv294s=")</f>
        <v>#REF!</v>
      </c>
      <c r="EK34" t="e">
        <f>IF(#REF!,"AAAAAGv294w=",0)</f>
        <v>#REF!</v>
      </c>
      <c r="EL34" t="e">
        <f>AND(#REF!,"AAAAAGv2940=")</f>
        <v>#REF!</v>
      </c>
      <c r="EM34" t="e">
        <f>AND(#REF!,"AAAAAGv2944=")</f>
        <v>#REF!</v>
      </c>
      <c r="EN34" t="e">
        <f>AND(#REF!,"AAAAAGv2948=")</f>
        <v>#REF!</v>
      </c>
      <c r="EO34" t="e">
        <f>AND(#REF!,"AAAAAGv295A=")</f>
        <v>#REF!</v>
      </c>
      <c r="EP34" t="e">
        <f>AND(#REF!,"AAAAAGv295E=")</f>
        <v>#REF!</v>
      </c>
      <c r="EQ34" t="e">
        <f>AND(#REF!,"AAAAAGv295I=")</f>
        <v>#REF!</v>
      </c>
      <c r="ER34" t="e">
        <f>AND(#REF!,"AAAAAGv295M=")</f>
        <v>#REF!</v>
      </c>
      <c r="ES34" t="e">
        <f>AND(#REF!,"AAAAAGv295Q=")</f>
        <v>#REF!</v>
      </c>
      <c r="ET34" t="e">
        <f>AND(#REF!,"AAAAAGv295U=")</f>
        <v>#REF!</v>
      </c>
      <c r="EU34" t="e">
        <f>AND(#REF!,"AAAAAGv295Y=")</f>
        <v>#REF!</v>
      </c>
      <c r="EV34" t="e">
        <f>AND(#REF!,"AAAAAGv295c=")</f>
        <v>#REF!</v>
      </c>
      <c r="EW34" t="e">
        <f>AND(#REF!,"AAAAAGv295g=")</f>
        <v>#REF!</v>
      </c>
      <c r="EX34" t="e">
        <f>AND(#REF!,"AAAAAGv295k=")</f>
        <v>#REF!</v>
      </c>
      <c r="EY34" t="e">
        <f>AND(#REF!,"AAAAAGv295o=")</f>
        <v>#REF!</v>
      </c>
      <c r="EZ34" t="e">
        <f>AND(#REF!,"AAAAAGv295s=")</f>
        <v>#REF!</v>
      </c>
      <c r="FA34" t="e">
        <f>AND(#REF!,"AAAAAGv295w=")</f>
        <v>#REF!</v>
      </c>
      <c r="FB34" t="e">
        <f>AND(#REF!,"AAAAAGv2950=")</f>
        <v>#REF!</v>
      </c>
      <c r="FC34" t="e">
        <f>AND(#REF!,"AAAAAGv2954=")</f>
        <v>#REF!</v>
      </c>
      <c r="FD34" t="e">
        <f>AND(#REF!,"AAAAAGv2958=")</f>
        <v>#REF!</v>
      </c>
      <c r="FE34" t="e">
        <f>AND(#REF!,"AAAAAGv296A=")</f>
        <v>#REF!</v>
      </c>
      <c r="FF34" t="e">
        <f>AND(#REF!,"AAAAAGv296E=")</f>
        <v>#REF!</v>
      </c>
      <c r="FG34" t="e">
        <f>IF(#REF!,"AAAAAGv296I=",0)</f>
        <v>#REF!</v>
      </c>
      <c r="FH34" t="e">
        <f>AND(#REF!,"AAAAAGv296M=")</f>
        <v>#REF!</v>
      </c>
      <c r="FI34" t="e">
        <f>AND(#REF!,"AAAAAGv296Q=")</f>
        <v>#REF!</v>
      </c>
      <c r="FJ34" t="e">
        <f>AND(#REF!,"AAAAAGv296U=")</f>
        <v>#REF!</v>
      </c>
      <c r="FK34" t="e">
        <f>AND(#REF!,"AAAAAGv296Y=")</f>
        <v>#REF!</v>
      </c>
      <c r="FL34" t="e">
        <f>AND(#REF!,"AAAAAGv296c=")</f>
        <v>#REF!</v>
      </c>
      <c r="FM34" t="e">
        <f>AND(#REF!,"AAAAAGv296g=")</f>
        <v>#REF!</v>
      </c>
      <c r="FN34" t="e">
        <f>AND(#REF!,"AAAAAGv296k=")</f>
        <v>#REF!</v>
      </c>
      <c r="FO34" t="e">
        <f>AND(#REF!,"AAAAAGv296o=")</f>
        <v>#REF!</v>
      </c>
      <c r="FP34" t="e">
        <f>AND(#REF!,"AAAAAGv296s=")</f>
        <v>#REF!</v>
      </c>
      <c r="FQ34" t="e">
        <f>AND(#REF!,"AAAAAGv296w=")</f>
        <v>#REF!</v>
      </c>
      <c r="FR34" t="e">
        <f>AND(#REF!,"AAAAAGv2960=")</f>
        <v>#REF!</v>
      </c>
      <c r="FS34" t="e">
        <f>AND(#REF!,"AAAAAGv2964=")</f>
        <v>#REF!</v>
      </c>
      <c r="FT34" t="e">
        <f>AND(#REF!,"AAAAAGv2968=")</f>
        <v>#REF!</v>
      </c>
      <c r="FU34" t="e">
        <f>AND(#REF!,"AAAAAGv297A=")</f>
        <v>#REF!</v>
      </c>
      <c r="FV34" t="e">
        <f>AND(#REF!,"AAAAAGv297E=")</f>
        <v>#REF!</v>
      </c>
      <c r="FW34" t="e">
        <f>AND(#REF!,"AAAAAGv297I=")</f>
        <v>#REF!</v>
      </c>
      <c r="FX34" t="e">
        <f>AND(#REF!,"AAAAAGv297M=")</f>
        <v>#REF!</v>
      </c>
      <c r="FY34" t="e">
        <f>AND(#REF!,"AAAAAGv297Q=")</f>
        <v>#REF!</v>
      </c>
      <c r="FZ34" t="e">
        <f>AND(#REF!,"AAAAAGv297U=")</f>
        <v>#REF!</v>
      </c>
      <c r="GA34" t="e">
        <f>AND(#REF!,"AAAAAGv297Y=")</f>
        <v>#REF!</v>
      </c>
      <c r="GB34" t="e">
        <f>AND(#REF!,"AAAAAGv297c=")</f>
        <v>#REF!</v>
      </c>
      <c r="GC34" t="e">
        <f>IF(#REF!,"AAAAAGv297g=",0)</f>
        <v>#REF!</v>
      </c>
      <c r="GD34" t="e">
        <f>AND(#REF!,"AAAAAGv297k=")</f>
        <v>#REF!</v>
      </c>
      <c r="GE34" t="e">
        <f>AND(#REF!,"AAAAAGv297o=")</f>
        <v>#REF!</v>
      </c>
      <c r="GF34" t="e">
        <f>AND(#REF!,"AAAAAGv297s=")</f>
        <v>#REF!</v>
      </c>
      <c r="GG34" t="e">
        <f>AND(#REF!,"AAAAAGv297w=")</f>
        <v>#REF!</v>
      </c>
      <c r="GH34" t="e">
        <f>AND(#REF!,"AAAAAGv2970=")</f>
        <v>#REF!</v>
      </c>
      <c r="GI34" t="e">
        <f>AND(#REF!,"AAAAAGv2974=")</f>
        <v>#REF!</v>
      </c>
      <c r="GJ34" t="e">
        <f>AND(#REF!,"AAAAAGv2978=")</f>
        <v>#REF!</v>
      </c>
      <c r="GK34" t="e">
        <f>AND(#REF!,"AAAAAGv298A=")</f>
        <v>#REF!</v>
      </c>
      <c r="GL34" t="e">
        <f>AND(#REF!,"AAAAAGv298E=")</f>
        <v>#REF!</v>
      </c>
      <c r="GM34" t="e">
        <f>AND(#REF!,"AAAAAGv298I=")</f>
        <v>#REF!</v>
      </c>
      <c r="GN34" t="e">
        <f>AND(#REF!,"AAAAAGv298M=")</f>
        <v>#REF!</v>
      </c>
      <c r="GO34" t="e">
        <f>AND(#REF!,"AAAAAGv298Q=")</f>
        <v>#REF!</v>
      </c>
      <c r="GP34" t="e">
        <f>AND(#REF!,"AAAAAGv298U=")</f>
        <v>#REF!</v>
      </c>
      <c r="GQ34" t="e">
        <f>AND(#REF!,"AAAAAGv298Y=")</f>
        <v>#REF!</v>
      </c>
      <c r="GR34" t="e">
        <f>AND(#REF!,"AAAAAGv298c=")</f>
        <v>#REF!</v>
      </c>
      <c r="GS34" t="e">
        <f>AND(#REF!,"AAAAAGv298g=")</f>
        <v>#REF!</v>
      </c>
      <c r="GT34" t="e">
        <f>AND(#REF!,"AAAAAGv298k=")</f>
        <v>#REF!</v>
      </c>
      <c r="GU34" t="e">
        <f>AND(#REF!,"AAAAAGv298o=")</f>
        <v>#REF!</v>
      </c>
      <c r="GV34" t="e">
        <f>AND(#REF!,"AAAAAGv298s=")</f>
        <v>#REF!</v>
      </c>
      <c r="GW34" t="e">
        <f>AND(#REF!,"AAAAAGv298w=")</f>
        <v>#REF!</v>
      </c>
      <c r="GX34" t="e">
        <f>AND(#REF!,"AAAAAGv2980=")</f>
        <v>#REF!</v>
      </c>
      <c r="GY34" t="e">
        <f>IF(#REF!,"AAAAAGv2984=",0)</f>
        <v>#REF!</v>
      </c>
      <c r="GZ34" t="e">
        <f>AND(#REF!,"AAAAAGv2988=")</f>
        <v>#REF!</v>
      </c>
      <c r="HA34" t="e">
        <f>AND(#REF!,"AAAAAGv299A=")</f>
        <v>#REF!</v>
      </c>
      <c r="HB34" t="e">
        <f>AND(#REF!,"AAAAAGv299E=")</f>
        <v>#REF!</v>
      </c>
      <c r="HC34" t="e">
        <f>AND(#REF!,"AAAAAGv299I=")</f>
        <v>#REF!</v>
      </c>
      <c r="HD34" t="e">
        <f>AND(#REF!,"AAAAAGv299M=")</f>
        <v>#REF!</v>
      </c>
      <c r="HE34" t="e">
        <f>AND(#REF!,"AAAAAGv299Q=")</f>
        <v>#REF!</v>
      </c>
      <c r="HF34" t="e">
        <f>AND(#REF!,"AAAAAGv299U=")</f>
        <v>#REF!</v>
      </c>
      <c r="HG34" t="e">
        <f>AND(#REF!,"AAAAAGv299Y=")</f>
        <v>#REF!</v>
      </c>
      <c r="HH34" t="e">
        <f>AND(#REF!,"AAAAAGv299c=")</f>
        <v>#REF!</v>
      </c>
      <c r="HI34" t="e">
        <f>AND(#REF!,"AAAAAGv299g=")</f>
        <v>#REF!</v>
      </c>
      <c r="HJ34" t="e">
        <f>AND(#REF!,"AAAAAGv299k=")</f>
        <v>#REF!</v>
      </c>
      <c r="HK34" t="e">
        <f>AND(#REF!,"AAAAAGv299o=")</f>
        <v>#REF!</v>
      </c>
      <c r="HL34" t="e">
        <f>AND(#REF!,"AAAAAGv299s=")</f>
        <v>#REF!</v>
      </c>
      <c r="HM34" t="e">
        <f>AND(#REF!,"AAAAAGv299w=")</f>
        <v>#REF!</v>
      </c>
      <c r="HN34" t="e">
        <f>AND(#REF!,"AAAAAGv2990=")</f>
        <v>#REF!</v>
      </c>
      <c r="HO34" t="e">
        <f>AND(#REF!,"AAAAAGv2994=")</f>
        <v>#REF!</v>
      </c>
      <c r="HP34" t="e">
        <f>AND(#REF!,"AAAAAGv2998=")</f>
        <v>#REF!</v>
      </c>
      <c r="HQ34" t="e">
        <f>AND(#REF!,"AAAAAGv29+A=")</f>
        <v>#REF!</v>
      </c>
      <c r="HR34" t="e">
        <f>AND(#REF!,"AAAAAGv29+E=")</f>
        <v>#REF!</v>
      </c>
      <c r="HS34" t="e">
        <f>AND(#REF!,"AAAAAGv29+I=")</f>
        <v>#REF!</v>
      </c>
      <c r="HT34" t="e">
        <f>AND(#REF!,"AAAAAGv29+M=")</f>
        <v>#REF!</v>
      </c>
      <c r="HU34" t="e">
        <f>IF(#REF!,"AAAAAGv29+Q=",0)</f>
        <v>#REF!</v>
      </c>
      <c r="HV34" t="e">
        <f>AND(#REF!,"AAAAAGv29+U=")</f>
        <v>#REF!</v>
      </c>
      <c r="HW34" t="e">
        <f>AND(#REF!,"AAAAAGv29+Y=")</f>
        <v>#REF!</v>
      </c>
      <c r="HX34" t="e">
        <f>AND(#REF!,"AAAAAGv29+c=")</f>
        <v>#REF!</v>
      </c>
      <c r="HY34" t="e">
        <f>AND(#REF!,"AAAAAGv29+g=")</f>
        <v>#REF!</v>
      </c>
      <c r="HZ34" t="e">
        <f>AND(#REF!,"AAAAAGv29+k=")</f>
        <v>#REF!</v>
      </c>
      <c r="IA34" t="e">
        <f>AND(#REF!,"AAAAAGv29+o=")</f>
        <v>#REF!</v>
      </c>
      <c r="IB34" t="e">
        <f>AND(#REF!,"AAAAAGv29+s=")</f>
        <v>#REF!</v>
      </c>
      <c r="IC34" t="e">
        <f>AND(#REF!,"AAAAAGv29+w=")</f>
        <v>#REF!</v>
      </c>
      <c r="ID34" t="e">
        <f>AND(#REF!,"AAAAAGv29+0=")</f>
        <v>#REF!</v>
      </c>
      <c r="IE34" t="e">
        <f>AND(#REF!,"AAAAAGv29+4=")</f>
        <v>#REF!</v>
      </c>
      <c r="IF34" t="e">
        <f>AND(#REF!,"AAAAAGv29+8=")</f>
        <v>#REF!</v>
      </c>
      <c r="IG34" t="e">
        <f>AND(#REF!,"AAAAAGv29/A=")</f>
        <v>#REF!</v>
      </c>
      <c r="IH34" t="e">
        <f>AND(#REF!,"AAAAAGv29/E=")</f>
        <v>#REF!</v>
      </c>
      <c r="II34" t="e">
        <f>AND(#REF!,"AAAAAGv29/I=")</f>
        <v>#REF!</v>
      </c>
      <c r="IJ34" t="e">
        <f>AND(#REF!,"AAAAAGv29/M=")</f>
        <v>#REF!</v>
      </c>
      <c r="IK34" t="e">
        <f>AND(#REF!,"AAAAAGv29/Q=")</f>
        <v>#REF!</v>
      </c>
      <c r="IL34" t="e">
        <f>AND(#REF!,"AAAAAGv29/U=")</f>
        <v>#REF!</v>
      </c>
      <c r="IM34" t="e">
        <f>AND(#REF!,"AAAAAGv29/Y=")</f>
        <v>#REF!</v>
      </c>
      <c r="IN34" t="e">
        <f>AND(#REF!,"AAAAAGv29/c=")</f>
        <v>#REF!</v>
      </c>
      <c r="IO34" t="e">
        <f>AND(#REF!,"AAAAAGv29/g=")</f>
        <v>#REF!</v>
      </c>
      <c r="IP34" t="e">
        <f>AND(#REF!,"AAAAAGv29/k=")</f>
        <v>#REF!</v>
      </c>
      <c r="IQ34" t="e">
        <f>IF(#REF!,"AAAAAGv29/o=",0)</f>
        <v>#REF!</v>
      </c>
      <c r="IR34" t="e">
        <f>AND(#REF!,"AAAAAGv29/s=")</f>
        <v>#REF!</v>
      </c>
      <c r="IS34" t="e">
        <f>AND(#REF!,"AAAAAGv29/w=")</f>
        <v>#REF!</v>
      </c>
      <c r="IT34" t="e">
        <f>AND(#REF!,"AAAAAGv29/0=")</f>
        <v>#REF!</v>
      </c>
      <c r="IU34" t="e">
        <f>AND(#REF!,"AAAAAGv29/4=")</f>
        <v>#REF!</v>
      </c>
      <c r="IV34" t="e">
        <f>AND(#REF!,"AAAAAGv29/8=")</f>
        <v>#REF!</v>
      </c>
    </row>
    <row r="35" spans="1:256">
      <c r="A35" t="e">
        <f>AND(#REF!,"AAAAAFn9fAA=")</f>
        <v>#REF!</v>
      </c>
      <c r="B35" t="e">
        <f>AND(#REF!,"AAAAAFn9fAE=")</f>
        <v>#REF!</v>
      </c>
      <c r="C35" t="e">
        <f>AND(#REF!,"AAAAAFn9fAI=")</f>
        <v>#REF!</v>
      </c>
      <c r="D35" t="e">
        <f>AND(#REF!,"AAAAAFn9fAM=")</f>
        <v>#REF!</v>
      </c>
      <c r="E35" t="e">
        <f>AND(#REF!,"AAAAAFn9fAQ=")</f>
        <v>#REF!</v>
      </c>
      <c r="F35" t="e">
        <f>AND(#REF!,"AAAAAFn9fAU=")</f>
        <v>#REF!</v>
      </c>
      <c r="G35" t="e">
        <f>AND(#REF!,"AAAAAFn9fAY=")</f>
        <v>#REF!</v>
      </c>
      <c r="H35" t="e">
        <f>AND(#REF!,"AAAAAFn9fAc=")</f>
        <v>#REF!</v>
      </c>
      <c r="I35" t="e">
        <f>AND(#REF!,"AAAAAFn9fAg=")</f>
        <v>#REF!</v>
      </c>
      <c r="J35" t="e">
        <f>AND(#REF!,"AAAAAFn9fAk=")</f>
        <v>#REF!</v>
      </c>
      <c r="K35" t="e">
        <f>AND(#REF!,"AAAAAFn9fAo=")</f>
        <v>#REF!</v>
      </c>
      <c r="L35" t="e">
        <f>AND(#REF!,"AAAAAFn9fAs=")</f>
        <v>#REF!</v>
      </c>
      <c r="M35" t="e">
        <f>AND(#REF!,"AAAAAFn9fAw=")</f>
        <v>#REF!</v>
      </c>
      <c r="N35" t="e">
        <f>AND(#REF!,"AAAAAFn9fA0=")</f>
        <v>#REF!</v>
      </c>
      <c r="O35" t="e">
        <f>AND(#REF!,"AAAAAFn9fA4=")</f>
        <v>#REF!</v>
      </c>
      <c r="P35" t="e">
        <f>AND(#REF!,"AAAAAFn9fA8=")</f>
        <v>#REF!</v>
      </c>
      <c r="Q35" t="e">
        <f>IF(#REF!,"AAAAAFn9fBA=",0)</f>
        <v>#REF!</v>
      </c>
      <c r="R35" t="e">
        <f>AND(#REF!,"AAAAAFn9fBE=")</f>
        <v>#REF!</v>
      </c>
      <c r="S35" t="e">
        <f>AND(#REF!,"AAAAAFn9fBI=")</f>
        <v>#REF!</v>
      </c>
      <c r="T35" t="e">
        <f>AND(#REF!,"AAAAAFn9fBM=")</f>
        <v>#REF!</v>
      </c>
      <c r="U35" t="e">
        <f>AND(#REF!,"AAAAAFn9fBQ=")</f>
        <v>#REF!</v>
      </c>
      <c r="V35" t="e">
        <f>AND(#REF!,"AAAAAFn9fBU=")</f>
        <v>#REF!</v>
      </c>
      <c r="W35" t="e">
        <f>AND(#REF!,"AAAAAFn9fBY=")</f>
        <v>#REF!</v>
      </c>
      <c r="X35" t="e">
        <f>AND(#REF!,"AAAAAFn9fBc=")</f>
        <v>#REF!</v>
      </c>
      <c r="Y35" t="e">
        <f>AND(#REF!,"AAAAAFn9fBg=")</f>
        <v>#REF!</v>
      </c>
      <c r="Z35" t="e">
        <f>AND(#REF!,"AAAAAFn9fBk=")</f>
        <v>#REF!</v>
      </c>
      <c r="AA35" t="e">
        <f>AND(#REF!,"AAAAAFn9fBo=")</f>
        <v>#REF!</v>
      </c>
      <c r="AB35" t="e">
        <f>AND(#REF!,"AAAAAFn9fBs=")</f>
        <v>#REF!</v>
      </c>
      <c r="AC35" t="e">
        <f>AND(#REF!,"AAAAAFn9fBw=")</f>
        <v>#REF!</v>
      </c>
      <c r="AD35" t="e">
        <f>AND(#REF!,"AAAAAFn9fB0=")</f>
        <v>#REF!</v>
      </c>
      <c r="AE35" t="e">
        <f>AND(#REF!,"AAAAAFn9fB4=")</f>
        <v>#REF!</v>
      </c>
      <c r="AF35" t="e">
        <f>AND(#REF!,"AAAAAFn9fB8=")</f>
        <v>#REF!</v>
      </c>
      <c r="AG35" t="e">
        <f>AND(#REF!,"AAAAAFn9fCA=")</f>
        <v>#REF!</v>
      </c>
      <c r="AH35" t="e">
        <f>AND(#REF!,"AAAAAFn9fCE=")</f>
        <v>#REF!</v>
      </c>
      <c r="AI35" t="e">
        <f>AND(#REF!,"AAAAAFn9fCI=")</f>
        <v>#REF!</v>
      </c>
      <c r="AJ35" t="e">
        <f>AND(#REF!,"AAAAAFn9fCM=")</f>
        <v>#REF!</v>
      </c>
      <c r="AK35" t="e">
        <f>AND(#REF!,"AAAAAFn9fCQ=")</f>
        <v>#REF!</v>
      </c>
      <c r="AL35" t="e">
        <f>AND(#REF!,"AAAAAFn9fCU=")</f>
        <v>#REF!</v>
      </c>
      <c r="AM35" t="e">
        <f>IF(#REF!,"AAAAAFn9fCY=",0)</f>
        <v>#REF!</v>
      </c>
      <c r="AN35" t="e">
        <f>AND(#REF!,"AAAAAFn9fCc=")</f>
        <v>#REF!</v>
      </c>
      <c r="AO35" t="e">
        <f>AND(#REF!,"AAAAAFn9fCg=")</f>
        <v>#REF!</v>
      </c>
      <c r="AP35" t="e">
        <f>AND(#REF!,"AAAAAFn9fCk=")</f>
        <v>#REF!</v>
      </c>
      <c r="AQ35" t="e">
        <f>AND(#REF!,"AAAAAFn9fCo=")</f>
        <v>#REF!</v>
      </c>
      <c r="AR35" t="e">
        <f>AND(#REF!,"AAAAAFn9fCs=")</f>
        <v>#REF!</v>
      </c>
      <c r="AS35" t="e">
        <f>AND(#REF!,"AAAAAFn9fCw=")</f>
        <v>#REF!</v>
      </c>
      <c r="AT35" t="e">
        <f>AND(#REF!,"AAAAAFn9fC0=")</f>
        <v>#REF!</v>
      </c>
      <c r="AU35" t="e">
        <f>AND(#REF!,"AAAAAFn9fC4=")</f>
        <v>#REF!</v>
      </c>
      <c r="AV35" t="e">
        <f>AND(#REF!,"AAAAAFn9fC8=")</f>
        <v>#REF!</v>
      </c>
      <c r="AW35" t="e">
        <f>AND(#REF!,"AAAAAFn9fDA=")</f>
        <v>#REF!</v>
      </c>
      <c r="AX35" t="e">
        <f>AND(#REF!,"AAAAAFn9fDE=")</f>
        <v>#REF!</v>
      </c>
      <c r="AY35" t="e">
        <f>AND(#REF!,"AAAAAFn9fDI=")</f>
        <v>#REF!</v>
      </c>
      <c r="AZ35" t="e">
        <f>AND(#REF!,"AAAAAFn9fDM=")</f>
        <v>#REF!</v>
      </c>
      <c r="BA35" t="e">
        <f>AND(#REF!,"AAAAAFn9fDQ=")</f>
        <v>#REF!</v>
      </c>
      <c r="BB35" t="e">
        <f>AND(#REF!,"AAAAAFn9fDU=")</f>
        <v>#REF!</v>
      </c>
      <c r="BC35" t="e">
        <f>AND(#REF!,"AAAAAFn9fDY=")</f>
        <v>#REF!</v>
      </c>
      <c r="BD35" t="e">
        <f>AND(#REF!,"AAAAAFn9fDc=")</f>
        <v>#REF!</v>
      </c>
      <c r="BE35" t="e">
        <f>AND(#REF!,"AAAAAFn9fDg=")</f>
        <v>#REF!</v>
      </c>
      <c r="BF35" t="e">
        <f>AND(#REF!,"AAAAAFn9fDk=")</f>
        <v>#REF!</v>
      </c>
      <c r="BG35" t="e">
        <f>AND(#REF!,"AAAAAFn9fDo=")</f>
        <v>#REF!</v>
      </c>
      <c r="BH35" t="e">
        <f>AND(#REF!,"AAAAAFn9fDs=")</f>
        <v>#REF!</v>
      </c>
      <c r="BI35" t="e">
        <f>IF(#REF!,"AAAAAFn9fDw=",0)</f>
        <v>#REF!</v>
      </c>
      <c r="BJ35" t="e">
        <f>AND(#REF!,"AAAAAFn9fD0=")</f>
        <v>#REF!</v>
      </c>
      <c r="BK35" t="e">
        <f>AND(#REF!,"AAAAAFn9fD4=")</f>
        <v>#REF!</v>
      </c>
      <c r="BL35" t="e">
        <f>AND(#REF!,"AAAAAFn9fD8=")</f>
        <v>#REF!</v>
      </c>
      <c r="BM35" t="e">
        <f>AND(#REF!,"AAAAAFn9fEA=")</f>
        <v>#REF!</v>
      </c>
      <c r="BN35" t="e">
        <f>AND(#REF!,"AAAAAFn9fEE=")</f>
        <v>#REF!</v>
      </c>
      <c r="BO35" t="e">
        <f>AND(#REF!,"AAAAAFn9fEI=")</f>
        <v>#REF!</v>
      </c>
      <c r="BP35" t="e">
        <f>AND(#REF!,"AAAAAFn9fEM=")</f>
        <v>#REF!</v>
      </c>
      <c r="BQ35" t="e">
        <f>AND(#REF!,"AAAAAFn9fEQ=")</f>
        <v>#REF!</v>
      </c>
      <c r="BR35" t="e">
        <f>AND(#REF!,"AAAAAFn9fEU=")</f>
        <v>#REF!</v>
      </c>
      <c r="BS35" t="e">
        <f>AND(#REF!,"AAAAAFn9fEY=")</f>
        <v>#REF!</v>
      </c>
      <c r="BT35" t="e">
        <f>AND(#REF!,"AAAAAFn9fEc=")</f>
        <v>#REF!</v>
      </c>
      <c r="BU35" t="e">
        <f>AND(#REF!,"AAAAAFn9fEg=")</f>
        <v>#REF!</v>
      </c>
      <c r="BV35" t="e">
        <f>AND(#REF!,"AAAAAFn9fEk=")</f>
        <v>#REF!</v>
      </c>
      <c r="BW35" t="e">
        <f>AND(#REF!,"AAAAAFn9fEo=")</f>
        <v>#REF!</v>
      </c>
      <c r="BX35" t="e">
        <f>AND(#REF!,"AAAAAFn9fEs=")</f>
        <v>#REF!</v>
      </c>
      <c r="BY35" t="e">
        <f>AND(#REF!,"AAAAAFn9fEw=")</f>
        <v>#REF!</v>
      </c>
      <c r="BZ35" t="e">
        <f>AND(#REF!,"AAAAAFn9fE0=")</f>
        <v>#REF!</v>
      </c>
      <c r="CA35" t="e">
        <f>AND(#REF!,"AAAAAFn9fE4=")</f>
        <v>#REF!</v>
      </c>
      <c r="CB35" t="e">
        <f>AND(#REF!,"AAAAAFn9fE8=")</f>
        <v>#REF!</v>
      </c>
      <c r="CC35" t="e">
        <f>AND(#REF!,"AAAAAFn9fFA=")</f>
        <v>#REF!</v>
      </c>
      <c r="CD35" t="e">
        <f>AND(#REF!,"AAAAAFn9fFE=")</f>
        <v>#REF!</v>
      </c>
      <c r="CE35" t="e">
        <f>IF(#REF!,"AAAAAFn9fFI=",0)</f>
        <v>#REF!</v>
      </c>
      <c r="CF35" t="e">
        <f>AND(#REF!,"AAAAAFn9fFM=")</f>
        <v>#REF!</v>
      </c>
      <c r="CG35" t="e">
        <f>AND(#REF!,"AAAAAFn9fFQ=")</f>
        <v>#REF!</v>
      </c>
      <c r="CH35" t="e">
        <f>AND(#REF!,"AAAAAFn9fFU=")</f>
        <v>#REF!</v>
      </c>
      <c r="CI35" t="e">
        <f>AND(#REF!,"AAAAAFn9fFY=")</f>
        <v>#REF!</v>
      </c>
      <c r="CJ35" t="e">
        <f>AND(#REF!,"AAAAAFn9fFc=")</f>
        <v>#REF!</v>
      </c>
      <c r="CK35" t="e">
        <f>AND(#REF!,"AAAAAFn9fFg=")</f>
        <v>#REF!</v>
      </c>
      <c r="CL35" t="e">
        <f>AND(#REF!,"AAAAAFn9fFk=")</f>
        <v>#REF!</v>
      </c>
      <c r="CM35" t="e">
        <f>AND(#REF!,"AAAAAFn9fFo=")</f>
        <v>#REF!</v>
      </c>
      <c r="CN35" t="e">
        <f>AND(#REF!,"AAAAAFn9fFs=")</f>
        <v>#REF!</v>
      </c>
      <c r="CO35" t="e">
        <f>AND(#REF!,"AAAAAFn9fFw=")</f>
        <v>#REF!</v>
      </c>
      <c r="CP35" t="e">
        <f>AND(#REF!,"AAAAAFn9fF0=")</f>
        <v>#REF!</v>
      </c>
      <c r="CQ35" t="e">
        <f>AND(#REF!,"AAAAAFn9fF4=")</f>
        <v>#REF!</v>
      </c>
      <c r="CR35" t="e">
        <f>AND(#REF!,"AAAAAFn9fF8=")</f>
        <v>#REF!</v>
      </c>
      <c r="CS35" t="e">
        <f>AND(#REF!,"AAAAAFn9fGA=")</f>
        <v>#REF!</v>
      </c>
      <c r="CT35" t="e">
        <f>AND(#REF!,"AAAAAFn9fGE=")</f>
        <v>#REF!</v>
      </c>
      <c r="CU35" t="e">
        <f>AND(#REF!,"AAAAAFn9fGI=")</f>
        <v>#REF!</v>
      </c>
      <c r="CV35" t="e">
        <f>AND(#REF!,"AAAAAFn9fGM=")</f>
        <v>#REF!</v>
      </c>
      <c r="CW35" t="e">
        <f>AND(#REF!,"AAAAAFn9fGQ=")</f>
        <v>#REF!</v>
      </c>
      <c r="CX35" t="e">
        <f>AND(#REF!,"AAAAAFn9fGU=")</f>
        <v>#REF!</v>
      </c>
      <c r="CY35" t="e">
        <f>AND(#REF!,"AAAAAFn9fGY=")</f>
        <v>#REF!</v>
      </c>
      <c r="CZ35" t="e">
        <f>AND(#REF!,"AAAAAFn9fGc=")</f>
        <v>#REF!</v>
      </c>
      <c r="DA35" t="e">
        <f>IF(#REF!,"AAAAAFn9fGg=",0)</f>
        <v>#REF!</v>
      </c>
      <c r="DB35" t="e">
        <f>AND(#REF!,"AAAAAFn9fGk=")</f>
        <v>#REF!</v>
      </c>
      <c r="DC35" t="e">
        <f>AND(#REF!,"AAAAAFn9fGo=")</f>
        <v>#REF!</v>
      </c>
      <c r="DD35" t="e">
        <f>AND(#REF!,"AAAAAFn9fGs=")</f>
        <v>#REF!</v>
      </c>
      <c r="DE35" t="e">
        <f>AND(#REF!,"AAAAAFn9fGw=")</f>
        <v>#REF!</v>
      </c>
      <c r="DF35" t="e">
        <f>AND(#REF!,"AAAAAFn9fG0=")</f>
        <v>#REF!</v>
      </c>
      <c r="DG35" t="e">
        <f>AND(#REF!,"AAAAAFn9fG4=")</f>
        <v>#REF!</v>
      </c>
      <c r="DH35" t="e">
        <f>AND(#REF!,"AAAAAFn9fG8=")</f>
        <v>#REF!</v>
      </c>
      <c r="DI35" t="e">
        <f>AND(#REF!,"AAAAAFn9fHA=")</f>
        <v>#REF!</v>
      </c>
      <c r="DJ35" t="e">
        <f>AND(#REF!,"AAAAAFn9fHE=")</f>
        <v>#REF!</v>
      </c>
      <c r="DK35" t="e">
        <f>AND(#REF!,"AAAAAFn9fHI=")</f>
        <v>#REF!</v>
      </c>
      <c r="DL35" t="e">
        <f>AND(#REF!,"AAAAAFn9fHM=")</f>
        <v>#REF!</v>
      </c>
      <c r="DM35" t="e">
        <f>AND(#REF!,"AAAAAFn9fHQ=")</f>
        <v>#REF!</v>
      </c>
      <c r="DN35" t="e">
        <f>AND(#REF!,"AAAAAFn9fHU=")</f>
        <v>#REF!</v>
      </c>
      <c r="DO35" t="e">
        <f>AND(#REF!,"AAAAAFn9fHY=")</f>
        <v>#REF!</v>
      </c>
      <c r="DP35" t="e">
        <f>AND(#REF!,"AAAAAFn9fHc=")</f>
        <v>#REF!</v>
      </c>
      <c r="DQ35" t="e">
        <f>AND(#REF!,"AAAAAFn9fHg=")</f>
        <v>#REF!</v>
      </c>
      <c r="DR35" t="e">
        <f>AND(#REF!,"AAAAAFn9fHk=")</f>
        <v>#REF!</v>
      </c>
      <c r="DS35" t="e">
        <f>AND(#REF!,"AAAAAFn9fHo=")</f>
        <v>#REF!</v>
      </c>
      <c r="DT35" t="e">
        <f>AND(#REF!,"AAAAAFn9fHs=")</f>
        <v>#REF!</v>
      </c>
      <c r="DU35" t="e">
        <f>AND(#REF!,"AAAAAFn9fHw=")</f>
        <v>#REF!</v>
      </c>
      <c r="DV35" t="e">
        <f>AND(#REF!,"AAAAAFn9fH0=")</f>
        <v>#REF!</v>
      </c>
      <c r="DW35" t="e">
        <f>IF(#REF!,"AAAAAFn9fH4=",0)</f>
        <v>#REF!</v>
      </c>
      <c r="DX35" t="e">
        <f>AND(#REF!,"AAAAAFn9fH8=")</f>
        <v>#REF!</v>
      </c>
      <c r="DY35" t="e">
        <f>AND(#REF!,"AAAAAFn9fIA=")</f>
        <v>#REF!</v>
      </c>
      <c r="DZ35" t="e">
        <f>AND(#REF!,"AAAAAFn9fIE=")</f>
        <v>#REF!</v>
      </c>
      <c r="EA35" t="e">
        <f>AND(#REF!,"AAAAAFn9fII=")</f>
        <v>#REF!</v>
      </c>
      <c r="EB35" t="e">
        <f>AND(#REF!,"AAAAAFn9fIM=")</f>
        <v>#REF!</v>
      </c>
      <c r="EC35" t="e">
        <f>AND(#REF!,"AAAAAFn9fIQ=")</f>
        <v>#REF!</v>
      </c>
      <c r="ED35" t="e">
        <f>AND(#REF!,"AAAAAFn9fIU=")</f>
        <v>#REF!</v>
      </c>
      <c r="EE35" t="e">
        <f>AND(#REF!,"AAAAAFn9fIY=")</f>
        <v>#REF!</v>
      </c>
      <c r="EF35" t="e">
        <f>AND(#REF!,"AAAAAFn9fIc=")</f>
        <v>#REF!</v>
      </c>
      <c r="EG35" t="e">
        <f>AND(#REF!,"AAAAAFn9fIg=")</f>
        <v>#REF!</v>
      </c>
      <c r="EH35" t="e">
        <f>AND(#REF!,"AAAAAFn9fIk=")</f>
        <v>#REF!</v>
      </c>
      <c r="EI35" t="e">
        <f>AND(#REF!,"AAAAAFn9fIo=")</f>
        <v>#REF!</v>
      </c>
      <c r="EJ35" t="e">
        <f>AND(#REF!,"AAAAAFn9fIs=")</f>
        <v>#REF!</v>
      </c>
      <c r="EK35" t="e">
        <f>AND(#REF!,"AAAAAFn9fIw=")</f>
        <v>#REF!</v>
      </c>
      <c r="EL35" t="e">
        <f>AND(#REF!,"AAAAAFn9fI0=")</f>
        <v>#REF!</v>
      </c>
      <c r="EM35" t="e">
        <f>AND(#REF!,"AAAAAFn9fI4=")</f>
        <v>#REF!</v>
      </c>
      <c r="EN35" t="e">
        <f>AND(#REF!,"AAAAAFn9fI8=")</f>
        <v>#REF!</v>
      </c>
      <c r="EO35" t="e">
        <f>AND(#REF!,"AAAAAFn9fJA=")</f>
        <v>#REF!</v>
      </c>
      <c r="EP35" t="e">
        <f>AND(#REF!,"AAAAAFn9fJE=")</f>
        <v>#REF!</v>
      </c>
      <c r="EQ35" t="e">
        <f>AND(#REF!,"AAAAAFn9fJI=")</f>
        <v>#REF!</v>
      </c>
      <c r="ER35" t="e">
        <f>AND(#REF!,"AAAAAFn9fJM=")</f>
        <v>#REF!</v>
      </c>
      <c r="ES35" t="e">
        <f>IF(#REF!,"AAAAAFn9fJQ=",0)</f>
        <v>#REF!</v>
      </c>
      <c r="ET35" t="e">
        <f>AND(#REF!,"AAAAAFn9fJU=")</f>
        <v>#REF!</v>
      </c>
      <c r="EU35" t="e">
        <f>AND(#REF!,"AAAAAFn9fJY=")</f>
        <v>#REF!</v>
      </c>
      <c r="EV35" t="e">
        <f>AND(#REF!,"AAAAAFn9fJc=")</f>
        <v>#REF!</v>
      </c>
      <c r="EW35" t="e">
        <f>AND(#REF!,"AAAAAFn9fJg=")</f>
        <v>#REF!</v>
      </c>
      <c r="EX35" t="e">
        <f>AND(#REF!,"AAAAAFn9fJk=")</f>
        <v>#REF!</v>
      </c>
      <c r="EY35" t="e">
        <f>AND(#REF!,"AAAAAFn9fJo=")</f>
        <v>#REF!</v>
      </c>
      <c r="EZ35" t="e">
        <f>AND(#REF!,"AAAAAFn9fJs=")</f>
        <v>#REF!</v>
      </c>
      <c r="FA35" t="e">
        <f>AND(#REF!,"AAAAAFn9fJw=")</f>
        <v>#REF!</v>
      </c>
      <c r="FB35" t="e">
        <f>AND(#REF!,"AAAAAFn9fJ0=")</f>
        <v>#REF!</v>
      </c>
      <c r="FC35" t="e">
        <f>AND(#REF!,"AAAAAFn9fJ4=")</f>
        <v>#REF!</v>
      </c>
      <c r="FD35" t="e">
        <f>AND(#REF!,"AAAAAFn9fJ8=")</f>
        <v>#REF!</v>
      </c>
      <c r="FE35" t="e">
        <f>AND(#REF!,"AAAAAFn9fKA=")</f>
        <v>#REF!</v>
      </c>
      <c r="FF35" t="e">
        <f>AND(#REF!,"AAAAAFn9fKE=")</f>
        <v>#REF!</v>
      </c>
      <c r="FG35" t="e">
        <f>AND(#REF!,"AAAAAFn9fKI=")</f>
        <v>#REF!</v>
      </c>
      <c r="FH35" t="e">
        <f>AND(#REF!,"AAAAAFn9fKM=")</f>
        <v>#REF!</v>
      </c>
      <c r="FI35" t="e">
        <f>AND(#REF!,"AAAAAFn9fKQ=")</f>
        <v>#REF!</v>
      </c>
      <c r="FJ35" t="e">
        <f>AND(#REF!,"AAAAAFn9fKU=")</f>
        <v>#REF!</v>
      </c>
      <c r="FK35" t="e">
        <f>AND(#REF!,"AAAAAFn9fKY=")</f>
        <v>#REF!</v>
      </c>
      <c r="FL35" t="e">
        <f>AND(#REF!,"AAAAAFn9fKc=")</f>
        <v>#REF!</v>
      </c>
      <c r="FM35" t="e">
        <f>AND(#REF!,"AAAAAFn9fKg=")</f>
        <v>#REF!</v>
      </c>
      <c r="FN35" t="e">
        <f>AND(#REF!,"AAAAAFn9fKk=")</f>
        <v>#REF!</v>
      </c>
      <c r="FO35" t="e">
        <f>IF(#REF!,"AAAAAFn9fKo=",0)</f>
        <v>#REF!</v>
      </c>
      <c r="FP35" t="e">
        <f>AND(#REF!,"AAAAAFn9fKs=")</f>
        <v>#REF!</v>
      </c>
      <c r="FQ35" t="e">
        <f>AND(#REF!,"AAAAAFn9fKw=")</f>
        <v>#REF!</v>
      </c>
      <c r="FR35" t="e">
        <f>AND(#REF!,"AAAAAFn9fK0=")</f>
        <v>#REF!</v>
      </c>
      <c r="FS35" t="e">
        <f>AND(#REF!,"AAAAAFn9fK4=")</f>
        <v>#REF!</v>
      </c>
      <c r="FT35" t="e">
        <f>AND(#REF!,"AAAAAFn9fK8=")</f>
        <v>#REF!</v>
      </c>
      <c r="FU35" t="e">
        <f>AND(#REF!,"AAAAAFn9fLA=")</f>
        <v>#REF!</v>
      </c>
      <c r="FV35" t="e">
        <f>AND(#REF!,"AAAAAFn9fLE=")</f>
        <v>#REF!</v>
      </c>
      <c r="FW35" t="e">
        <f>AND(#REF!,"AAAAAFn9fLI=")</f>
        <v>#REF!</v>
      </c>
      <c r="FX35" t="e">
        <f>AND(#REF!,"AAAAAFn9fLM=")</f>
        <v>#REF!</v>
      </c>
      <c r="FY35" t="e">
        <f>AND(#REF!,"AAAAAFn9fLQ=")</f>
        <v>#REF!</v>
      </c>
      <c r="FZ35" t="e">
        <f>AND(#REF!,"AAAAAFn9fLU=")</f>
        <v>#REF!</v>
      </c>
      <c r="GA35" t="e">
        <f>AND(#REF!,"AAAAAFn9fLY=")</f>
        <v>#REF!</v>
      </c>
      <c r="GB35" t="e">
        <f>AND(#REF!,"AAAAAFn9fLc=")</f>
        <v>#REF!</v>
      </c>
      <c r="GC35" t="e">
        <f>AND(#REF!,"AAAAAFn9fLg=")</f>
        <v>#REF!</v>
      </c>
      <c r="GD35" t="e">
        <f>AND(#REF!,"AAAAAFn9fLk=")</f>
        <v>#REF!</v>
      </c>
      <c r="GE35" t="e">
        <f>AND(#REF!,"AAAAAFn9fLo=")</f>
        <v>#REF!</v>
      </c>
      <c r="GF35" t="e">
        <f>AND(#REF!,"AAAAAFn9fLs=")</f>
        <v>#REF!</v>
      </c>
      <c r="GG35" t="e">
        <f>AND(#REF!,"AAAAAFn9fLw=")</f>
        <v>#REF!</v>
      </c>
      <c r="GH35" t="e">
        <f>AND(#REF!,"AAAAAFn9fL0=")</f>
        <v>#REF!</v>
      </c>
      <c r="GI35" t="e">
        <f>AND(#REF!,"AAAAAFn9fL4=")</f>
        <v>#REF!</v>
      </c>
      <c r="GJ35" t="e">
        <f>AND(#REF!,"AAAAAFn9fL8=")</f>
        <v>#REF!</v>
      </c>
      <c r="GK35" t="e">
        <f>IF(#REF!,"AAAAAFn9fMA=",0)</f>
        <v>#REF!</v>
      </c>
      <c r="GL35" t="e">
        <f>AND(#REF!,"AAAAAFn9fME=")</f>
        <v>#REF!</v>
      </c>
      <c r="GM35" t="e">
        <f>AND(#REF!,"AAAAAFn9fMI=")</f>
        <v>#REF!</v>
      </c>
      <c r="GN35" t="e">
        <f>AND(#REF!,"AAAAAFn9fMM=")</f>
        <v>#REF!</v>
      </c>
      <c r="GO35" t="e">
        <f>AND(#REF!,"AAAAAFn9fMQ=")</f>
        <v>#REF!</v>
      </c>
      <c r="GP35" t="e">
        <f>AND(#REF!,"AAAAAFn9fMU=")</f>
        <v>#REF!</v>
      </c>
      <c r="GQ35" t="e">
        <f>AND(#REF!,"AAAAAFn9fMY=")</f>
        <v>#REF!</v>
      </c>
      <c r="GR35" t="e">
        <f>AND(#REF!,"AAAAAFn9fMc=")</f>
        <v>#REF!</v>
      </c>
      <c r="GS35" t="e">
        <f>AND(#REF!,"AAAAAFn9fMg=")</f>
        <v>#REF!</v>
      </c>
      <c r="GT35" t="e">
        <f>AND(#REF!,"AAAAAFn9fMk=")</f>
        <v>#REF!</v>
      </c>
      <c r="GU35" t="e">
        <f>AND(#REF!,"AAAAAFn9fMo=")</f>
        <v>#REF!</v>
      </c>
      <c r="GV35" t="e">
        <f>AND(#REF!,"AAAAAFn9fMs=")</f>
        <v>#REF!</v>
      </c>
      <c r="GW35" t="e">
        <f>AND(#REF!,"AAAAAFn9fMw=")</f>
        <v>#REF!</v>
      </c>
      <c r="GX35" t="e">
        <f>AND(#REF!,"AAAAAFn9fM0=")</f>
        <v>#REF!</v>
      </c>
      <c r="GY35" t="e">
        <f>AND(#REF!,"AAAAAFn9fM4=")</f>
        <v>#REF!</v>
      </c>
      <c r="GZ35" t="e">
        <f>AND(#REF!,"AAAAAFn9fM8=")</f>
        <v>#REF!</v>
      </c>
      <c r="HA35" t="e">
        <f>AND(#REF!,"AAAAAFn9fNA=")</f>
        <v>#REF!</v>
      </c>
      <c r="HB35" t="e">
        <f>AND(#REF!,"AAAAAFn9fNE=")</f>
        <v>#REF!</v>
      </c>
      <c r="HC35" t="e">
        <f>AND(#REF!,"AAAAAFn9fNI=")</f>
        <v>#REF!</v>
      </c>
      <c r="HD35" t="e">
        <f>AND(#REF!,"AAAAAFn9fNM=")</f>
        <v>#REF!</v>
      </c>
      <c r="HE35" t="e">
        <f>AND(#REF!,"AAAAAFn9fNQ=")</f>
        <v>#REF!</v>
      </c>
      <c r="HF35" t="e">
        <f>AND(#REF!,"AAAAAFn9fNU=")</f>
        <v>#REF!</v>
      </c>
      <c r="HG35" t="e">
        <f>IF(#REF!,"AAAAAFn9fNY=",0)</f>
        <v>#REF!</v>
      </c>
      <c r="HH35" t="e">
        <f>AND(#REF!,"AAAAAFn9fNc=")</f>
        <v>#REF!</v>
      </c>
      <c r="HI35" t="e">
        <f>AND(#REF!,"AAAAAFn9fNg=")</f>
        <v>#REF!</v>
      </c>
      <c r="HJ35" t="e">
        <f>AND(#REF!,"AAAAAFn9fNk=")</f>
        <v>#REF!</v>
      </c>
      <c r="HK35" t="e">
        <f>AND(#REF!,"AAAAAFn9fNo=")</f>
        <v>#REF!</v>
      </c>
      <c r="HL35" t="e">
        <f>AND(#REF!,"AAAAAFn9fNs=")</f>
        <v>#REF!</v>
      </c>
      <c r="HM35" t="e">
        <f>AND(#REF!,"AAAAAFn9fNw=")</f>
        <v>#REF!</v>
      </c>
      <c r="HN35" t="e">
        <f>AND(#REF!,"AAAAAFn9fN0=")</f>
        <v>#REF!</v>
      </c>
      <c r="HO35" t="e">
        <f>AND(#REF!,"AAAAAFn9fN4=")</f>
        <v>#REF!</v>
      </c>
      <c r="HP35" t="e">
        <f>AND(#REF!,"AAAAAFn9fN8=")</f>
        <v>#REF!</v>
      </c>
      <c r="HQ35" t="e">
        <f>AND(#REF!,"AAAAAFn9fOA=")</f>
        <v>#REF!</v>
      </c>
      <c r="HR35" t="e">
        <f>AND(#REF!,"AAAAAFn9fOE=")</f>
        <v>#REF!</v>
      </c>
      <c r="HS35" t="e">
        <f>AND(#REF!,"AAAAAFn9fOI=")</f>
        <v>#REF!</v>
      </c>
      <c r="HT35" t="e">
        <f>AND(#REF!,"AAAAAFn9fOM=")</f>
        <v>#REF!</v>
      </c>
      <c r="HU35" t="e">
        <f>AND(#REF!,"AAAAAFn9fOQ=")</f>
        <v>#REF!</v>
      </c>
      <c r="HV35" t="e">
        <f>AND(#REF!,"AAAAAFn9fOU=")</f>
        <v>#REF!</v>
      </c>
      <c r="HW35" t="e">
        <f>AND(#REF!,"AAAAAFn9fOY=")</f>
        <v>#REF!</v>
      </c>
      <c r="HX35" t="e">
        <f>AND(#REF!,"AAAAAFn9fOc=")</f>
        <v>#REF!</v>
      </c>
      <c r="HY35" t="e">
        <f>AND(#REF!,"AAAAAFn9fOg=")</f>
        <v>#REF!</v>
      </c>
      <c r="HZ35" t="e">
        <f>AND(#REF!,"AAAAAFn9fOk=")</f>
        <v>#REF!</v>
      </c>
      <c r="IA35" t="e">
        <f>AND(#REF!,"AAAAAFn9fOo=")</f>
        <v>#REF!</v>
      </c>
      <c r="IB35" t="e">
        <f>AND(#REF!,"AAAAAFn9fOs=")</f>
        <v>#REF!</v>
      </c>
      <c r="IC35" t="e">
        <f>IF(#REF!,"AAAAAFn9fOw=",0)</f>
        <v>#REF!</v>
      </c>
      <c r="ID35" t="e">
        <f>AND(#REF!,"AAAAAFn9fO0=")</f>
        <v>#REF!</v>
      </c>
      <c r="IE35" t="e">
        <f>AND(#REF!,"AAAAAFn9fO4=")</f>
        <v>#REF!</v>
      </c>
      <c r="IF35" t="e">
        <f>AND(#REF!,"AAAAAFn9fO8=")</f>
        <v>#REF!</v>
      </c>
      <c r="IG35" t="e">
        <f>AND(#REF!,"AAAAAFn9fPA=")</f>
        <v>#REF!</v>
      </c>
      <c r="IH35" t="e">
        <f>AND(#REF!,"AAAAAFn9fPE=")</f>
        <v>#REF!</v>
      </c>
      <c r="II35" t="e">
        <f>AND(#REF!,"AAAAAFn9fPI=")</f>
        <v>#REF!</v>
      </c>
      <c r="IJ35" t="e">
        <f>AND(#REF!,"AAAAAFn9fPM=")</f>
        <v>#REF!</v>
      </c>
      <c r="IK35" t="e">
        <f>AND(#REF!,"AAAAAFn9fPQ=")</f>
        <v>#REF!</v>
      </c>
      <c r="IL35" t="e">
        <f>AND(#REF!,"AAAAAFn9fPU=")</f>
        <v>#REF!</v>
      </c>
      <c r="IM35" t="e">
        <f>AND(#REF!,"AAAAAFn9fPY=")</f>
        <v>#REF!</v>
      </c>
      <c r="IN35" t="e">
        <f>AND(#REF!,"AAAAAFn9fPc=")</f>
        <v>#REF!</v>
      </c>
      <c r="IO35" t="e">
        <f>AND(#REF!,"AAAAAFn9fPg=")</f>
        <v>#REF!</v>
      </c>
      <c r="IP35" t="e">
        <f>AND(#REF!,"AAAAAFn9fPk=")</f>
        <v>#REF!</v>
      </c>
      <c r="IQ35" t="e">
        <f>AND(#REF!,"AAAAAFn9fPo=")</f>
        <v>#REF!</v>
      </c>
      <c r="IR35" t="e">
        <f>AND(#REF!,"AAAAAFn9fPs=")</f>
        <v>#REF!</v>
      </c>
      <c r="IS35" t="e">
        <f>AND(#REF!,"AAAAAFn9fPw=")</f>
        <v>#REF!</v>
      </c>
      <c r="IT35" t="e">
        <f>AND(#REF!,"AAAAAFn9fP0=")</f>
        <v>#REF!</v>
      </c>
      <c r="IU35" t="e">
        <f>AND(#REF!,"AAAAAFn9fP4=")</f>
        <v>#REF!</v>
      </c>
      <c r="IV35" t="e">
        <f>AND(#REF!,"AAAAAFn9fP8=")</f>
        <v>#REF!</v>
      </c>
    </row>
    <row r="36" spans="1:256">
      <c r="A36" t="e">
        <f>AND(#REF!,"AAAAAH1e/wA=")</f>
        <v>#REF!</v>
      </c>
      <c r="B36" t="e">
        <f>AND(#REF!,"AAAAAH1e/wE=")</f>
        <v>#REF!</v>
      </c>
      <c r="C36" t="e">
        <f>IF(#REF!,"AAAAAH1e/wI=",0)</f>
        <v>#REF!</v>
      </c>
      <c r="D36" t="e">
        <f>AND(#REF!,"AAAAAH1e/wM=")</f>
        <v>#REF!</v>
      </c>
      <c r="E36" t="e">
        <f>AND(#REF!,"AAAAAH1e/wQ=")</f>
        <v>#REF!</v>
      </c>
      <c r="F36" t="e">
        <f>AND(#REF!,"AAAAAH1e/wU=")</f>
        <v>#REF!</v>
      </c>
      <c r="G36" t="e">
        <f>AND(#REF!,"AAAAAH1e/wY=")</f>
        <v>#REF!</v>
      </c>
      <c r="H36" t="e">
        <f>AND(#REF!,"AAAAAH1e/wc=")</f>
        <v>#REF!</v>
      </c>
      <c r="I36" t="e">
        <f>AND(#REF!,"AAAAAH1e/wg=")</f>
        <v>#REF!</v>
      </c>
      <c r="J36" t="e">
        <f>AND(#REF!,"AAAAAH1e/wk=")</f>
        <v>#REF!</v>
      </c>
      <c r="K36" t="e">
        <f>AND(#REF!,"AAAAAH1e/wo=")</f>
        <v>#REF!</v>
      </c>
      <c r="L36" t="e">
        <f>AND(#REF!,"AAAAAH1e/ws=")</f>
        <v>#REF!</v>
      </c>
      <c r="M36" t="e">
        <f>AND(#REF!,"AAAAAH1e/ww=")</f>
        <v>#REF!</v>
      </c>
      <c r="N36" t="e">
        <f>AND(#REF!,"AAAAAH1e/w0=")</f>
        <v>#REF!</v>
      </c>
      <c r="O36" t="e">
        <f>AND(#REF!,"AAAAAH1e/w4=")</f>
        <v>#REF!</v>
      </c>
      <c r="P36" t="e">
        <f>AND(#REF!,"AAAAAH1e/w8=")</f>
        <v>#REF!</v>
      </c>
      <c r="Q36" t="e">
        <f>AND(#REF!,"AAAAAH1e/xA=")</f>
        <v>#REF!</v>
      </c>
      <c r="R36" t="e">
        <f>AND(#REF!,"AAAAAH1e/xE=")</f>
        <v>#REF!</v>
      </c>
      <c r="S36" t="e">
        <f>AND(#REF!,"AAAAAH1e/xI=")</f>
        <v>#REF!</v>
      </c>
      <c r="T36" t="e">
        <f>AND(#REF!,"AAAAAH1e/xM=")</f>
        <v>#REF!</v>
      </c>
      <c r="U36" t="e">
        <f>AND(#REF!,"AAAAAH1e/xQ=")</f>
        <v>#REF!</v>
      </c>
      <c r="V36" t="e">
        <f>AND(#REF!,"AAAAAH1e/xU=")</f>
        <v>#REF!</v>
      </c>
      <c r="W36" t="e">
        <f>AND(#REF!,"AAAAAH1e/xY=")</f>
        <v>#REF!</v>
      </c>
      <c r="X36" t="e">
        <f>AND(#REF!,"AAAAAH1e/xc=")</f>
        <v>#REF!</v>
      </c>
      <c r="Y36" t="e">
        <f>IF(#REF!,"AAAAAH1e/xg=",0)</f>
        <v>#REF!</v>
      </c>
      <c r="Z36" t="e">
        <f>AND(#REF!,"AAAAAH1e/xk=")</f>
        <v>#REF!</v>
      </c>
      <c r="AA36" t="e">
        <f>AND(#REF!,"AAAAAH1e/xo=")</f>
        <v>#REF!</v>
      </c>
      <c r="AB36" t="e">
        <f>AND(#REF!,"AAAAAH1e/xs=")</f>
        <v>#REF!</v>
      </c>
      <c r="AC36" t="e">
        <f>AND(#REF!,"AAAAAH1e/xw=")</f>
        <v>#REF!</v>
      </c>
      <c r="AD36" t="e">
        <f>AND(#REF!,"AAAAAH1e/x0=")</f>
        <v>#REF!</v>
      </c>
      <c r="AE36" t="e">
        <f>AND(#REF!,"AAAAAH1e/x4=")</f>
        <v>#REF!</v>
      </c>
      <c r="AF36" t="e">
        <f>AND(#REF!,"AAAAAH1e/x8=")</f>
        <v>#REF!</v>
      </c>
      <c r="AG36" t="e">
        <f>AND(#REF!,"AAAAAH1e/yA=")</f>
        <v>#REF!</v>
      </c>
      <c r="AH36" t="e">
        <f>AND(#REF!,"AAAAAH1e/yE=")</f>
        <v>#REF!</v>
      </c>
      <c r="AI36" t="e">
        <f>AND(#REF!,"AAAAAH1e/yI=")</f>
        <v>#REF!</v>
      </c>
      <c r="AJ36" t="e">
        <f>AND(#REF!,"AAAAAH1e/yM=")</f>
        <v>#REF!</v>
      </c>
      <c r="AK36" t="e">
        <f>AND(#REF!,"AAAAAH1e/yQ=")</f>
        <v>#REF!</v>
      </c>
      <c r="AL36" t="e">
        <f>AND(#REF!,"AAAAAH1e/yU=")</f>
        <v>#REF!</v>
      </c>
      <c r="AM36" t="e">
        <f>AND(#REF!,"AAAAAH1e/yY=")</f>
        <v>#REF!</v>
      </c>
      <c r="AN36" t="e">
        <f>AND(#REF!,"AAAAAH1e/yc=")</f>
        <v>#REF!</v>
      </c>
      <c r="AO36" t="e">
        <f>AND(#REF!,"AAAAAH1e/yg=")</f>
        <v>#REF!</v>
      </c>
      <c r="AP36" t="e">
        <f>AND(#REF!,"AAAAAH1e/yk=")</f>
        <v>#REF!</v>
      </c>
      <c r="AQ36" t="e">
        <f>AND(#REF!,"AAAAAH1e/yo=")</f>
        <v>#REF!</v>
      </c>
      <c r="AR36" t="e">
        <f>AND(#REF!,"AAAAAH1e/ys=")</f>
        <v>#REF!</v>
      </c>
      <c r="AS36" t="e">
        <f>AND(#REF!,"AAAAAH1e/yw=")</f>
        <v>#REF!</v>
      </c>
      <c r="AT36" t="e">
        <f>AND(#REF!,"AAAAAH1e/y0=")</f>
        <v>#REF!</v>
      </c>
      <c r="AU36" t="e">
        <f>IF(#REF!,"AAAAAH1e/y4=",0)</f>
        <v>#REF!</v>
      </c>
      <c r="AV36" t="e">
        <f>AND(#REF!,"AAAAAH1e/y8=")</f>
        <v>#REF!</v>
      </c>
      <c r="AW36" t="e">
        <f>AND(#REF!,"AAAAAH1e/zA=")</f>
        <v>#REF!</v>
      </c>
      <c r="AX36" t="e">
        <f>AND(#REF!,"AAAAAH1e/zE=")</f>
        <v>#REF!</v>
      </c>
      <c r="AY36" t="e">
        <f>AND(#REF!,"AAAAAH1e/zI=")</f>
        <v>#REF!</v>
      </c>
      <c r="AZ36" t="e">
        <f>AND(#REF!,"AAAAAH1e/zM=")</f>
        <v>#REF!</v>
      </c>
      <c r="BA36" t="e">
        <f>AND(#REF!,"AAAAAH1e/zQ=")</f>
        <v>#REF!</v>
      </c>
      <c r="BB36" t="e">
        <f>AND(#REF!,"AAAAAH1e/zU=")</f>
        <v>#REF!</v>
      </c>
      <c r="BC36" t="e">
        <f>AND(#REF!,"AAAAAH1e/zY=")</f>
        <v>#REF!</v>
      </c>
      <c r="BD36" t="e">
        <f>AND(#REF!,"AAAAAH1e/zc=")</f>
        <v>#REF!</v>
      </c>
      <c r="BE36" t="e">
        <f>AND(#REF!,"AAAAAH1e/zg=")</f>
        <v>#REF!</v>
      </c>
      <c r="BF36" t="e">
        <f>AND(#REF!,"AAAAAH1e/zk=")</f>
        <v>#REF!</v>
      </c>
      <c r="BG36" t="e">
        <f>AND(#REF!,"AAAAAH1e/zo=")</f>
        <v>#REF!</v>
      </c>
      <c r="BH36" t="e">
        <f>AND(#REF!,"AAAAAH1e/zs=")</f>
        <v>#REF!</v>
      </c>
      <c r="BI36" t="e">
        <f>AND(#REF!,"AAAAAH1e/zw=")</f>
        <v>#REF!</v>
      </c>
      <c r="BJ36" t="e">
        <f>AND(#REF!,"AAAAAH1e/z0=")</f>
        <v>#REF!</v>
      </c>
      <c r="BK36" t="e">
        <f>AND(#REF!,"AAAAAH1e/z4=")</f>
        <v>#REF!</v>
      </c>
      <c r="BL36" t="e">
        <f>AND(#REF!,"AAAAAH1e/z8=")</f>
        <v>#REF!</v>
      </c>
      <c r="BM36" t="e">
        <f>AND(#REF!,"AAAAAH1e/0A=")</f>
        <v>#REF!</v>
      </c>
      <c r="BN36" t="e">
        <f>AND(#REF!,"AAAAAH1e/0E=")</f>
        <v>#REF!</v>
      </c>
      <c r="BO36" t="e">
        <f>AND(#REF!,"AAAAAH1e/0I=")</f>
        <v>#REF!</v>
      </c>
      <c r="BP36" t="e">
        <f>AND(#REF!,"AAAAAH1e/0M=")</f>
        <v>#REF!</v>
      </c>
      <c r="BQ36" t="e">
        <f>IF(#REF!,"AAAAAH1e/0Q=",0)</f>
        <v>#REF!</v>
      </c>
      <c r="BR36" t="e">
        <f>AND(#REF!,"AAAAAH1e/0U=")</f>
        <v>#REF!</v>
      </c>
      <c r="BS36" t="e">
        <f>AND(#REF!,"AAAAAH1e/0Y=")</f>
        <v>#REF!</v>
      </c>
      <c r="BT36" t="e">
        <f>AND(#REF!,"AAAAAH1e/0c=")</f>
        <v>#REF!</v>
      </c>
      <c r="BU36" t="e">
        <f>AND(#REF!,"AAAAAH1e/0g=")</f>
        <v>#REF!</v>
      </c>
      <c r="BV36" t="e">
        <f>AND(#REF!,"AAAAAH1e/0k=")</f>
        <v>#REF!</v>
      </c>
      <c r="BW36" t="e">
        <f>AND(#REF!,"AAAAAH1e/0o=")</f>
        <v>#REF!</v>
      </c>
      <c r="BX36" t="e">
        <f>AND(#REF!,"AAAAAH1e/0s=")</f>
        <v>#REF!</v>
      </c>
      <c r="BY36" t="e">
        <f>AND(#REF!,"AAAAAH1e/0w=")</f>
        <v>#REF!</v>
      </c>
      <c r="BZ36" t="e">
        <f>AND(#REF!,"AAAAAH1e/00=")</f>
        <v>#REF!</v>
      </c>
      <c r="CA36" t="e">
        <f>AND(#REF!,"AAAAAH1e/04=")</f>
        <v>#REF!</v>
      </c>
      <c r="CB36" t="e">
        <f>AND(#REF!,"AAAAAH1e/08=")</f>
        <v>#REF!</v>
      </c>
      <c r="CC36" t="e">
        <f>AND(#REF!,"AAAAAH1e/1A=")</f>
        <v>#REF!</v>
      </c>
      <c r="CD36" t="e">
        <f>AND(#REF!,"AAAAAH1e/1E=")</f>
        <v>#REF!</v>
      </c>
      <c r="CE36" t="e">
        <f>AND(#REF!,"AAAAAH1e/1I=")</f>
        <v>#REF!</v>
      </c>
      <c r="CF36" t="e">
        <f>AND(#REF!,"AAAAAH1e/1M=")</f>
        <v>#REF!</v>
      </c>
      <c r="CG36" t="e">
        <f>AND(#REF!,"AAAAAH1e/1Q=")</f>
        <v>#REF!</v>
      </c>
      <c r="CH36" t="e">
        <f>AND(#REF!,"AAAAAH1e/1U=")</f>
        <v>#REF!</v>
      </c>
      <c r="CI36" t="e">
        <f>AND(#REF!,"AAAAAH1e/1Y=")</f>
        <v>#REF!</v>
      </c>
      <c r="CJ36" t="e">
        <f>AND(#REF!,"AAAAAH1e/1c=")</f>
        <v>#REF!</v>
      </c>
      <c r="CK36" t="e">
        <f>AND(#REF!,"AAAAAH1e/1g=")</f>
        <v>#REF!</v>
      </c>
      <c r="CL36" t="e">
        <f>AND(#REF!,"AAAAAH1e/1k=")</f>
        <v>#REF!</v>
      </c>
      <c r="CM36" t="e">
        <f>IF(#REF!,"AAAAAH1e/1o=",0)</f>
        <v>#REF!</v>
      </c>
      <c r="CN36" t="e">
        <f>AND(#REF!,"AAAAAH1e/1s=")</f>
        <v>#REF!</v>
      </c>
      <c r="CO36" t="e">
        <f>AND(#REF!,"AAAAAH1e/1w=")</f>
        <v>#REF!</v>
      </c>
      <c r="CP36" t="e">
        <f>AND(#REF!,"AAAAAH1e/10=")</f>
        <v>#REF!</v>
      </c>
      <c r="CQ36" t="e">
        <f>AND(#REF!,"AAAAAH1e/14=")</f>
        <v>#REF!</v>
      </c>
      <c r="CR36" t="e">
        <f>AND(#REF!,"AAAAAH1e/18=")</f>
        <v>#REF!</v>
      </c>
      <c r="CS36" t="e">
        <f>AND(#REF!,"AAAAAH1e/2A=")</f>
        <v>#REF!</v>
      </c>
      <c r="CT36" t="e">
        <f>AND(#REF!,"AAAAAH1e/2E=")</f>
        <v>#REF!</v>
      </c>
      <c r="CU36" t="e">
        <f>AND(#REF!,"AAAAAH1e/2I=")</f>
        <v>#REF!</v>
      </c>
      <c r="CV36" t="e">
        <f>AND(#REF!,"AAAAAH1e/2M=")</f>
        <v>#REF!</v>
      </c>
      <c r="CW36" t="e">
        <f>AND(#REF!,"AAAAAH1e/2Q=")</f>
        <v>#REF!</v>
      </c>
      <c r="CX36" t="e">
        <f>AND(#REF!,"AAAAAH1e/2U=")</f>
        <v>#REF!</v>
      </c>
      <c r="CY36" t="e">
        <f>AND(#REF!,"AAAAAH1e/2Y=")</f>
        <v>#REF!</v>
      </c>
      <c r="CZ36" t="e">
        <f>AND(#REF!,"AAAAAH1e/2c=")</f>
        <v>#REF!</v>
      </c>
      <c r="DA36" t="e">
        <f>AND(#REF!,"AAAAAH1e/2g=")</f>
        <v>#REF!</v>
      </c>
      <c r="DB36" t="e">
        <f>AND(#REF!,"AAAAAH1e/2k=")</f>
        <v>#REF!</v>
      </c>
      <c r="DC36" t="e">
        <f>AND(#REF!,"AAAAAH1e/2o=")</f>
        <v>#REF!</v>
      </c>
      <c r="DD36" t="e">
        <f>AND(#REF!,"AAAAAH1e/2s=")</f>
        <v>#REF!</v>
      </c>
      <c r="DE36" t="e">
        <f>AND(#REF!,"AAAAAH1e/2w=")</f>
        <v>#REF!</v>
      </c>
      <c r="DF36" t="e">
        <f>AND(#REF!,"AAAAAH1e/20=")</f>
        <v>#REF!</v>
      </c>
      <c r="DG36" t="e">
        <f>AND(#REF!,"AAAAAH1e/24=")</f>
        <v>#REF!</v>
      </c>
      <c r="DH36" t="e">
        <f>AND(#REF!,"AAAAAH1e/28=")</f>
        <v>#REF!</v>
      </c>
      <c r="DI36" t="e">
        <f>IF(#REF!,"AAAAAH1e/3A=",0)</f>
        <v>#REF!</v>
      </c>
      <c r="DJ36" t="e">
        <f>AND(#REF!,"AAAAAH1e/3E=")</f>
        <v>#REF!</v>
      </c>
      <c r="DK36" t="e">
        <f>AND(#REF!,"AAAAAH1e/3I=")</f>
        <v>#REF!</v>
      </c>
      <c r="DL36" t="e">
        <f>AND(#REF!,"AAAAAH1e/3M=")</f>
        <v>#REF!</v>
      </c>
      <c r="DM36" t="e">
        <f>AND(#REF!,"AAAAAH1e/3Q=")</f>
        <v>#REF!</v>
      </c>
      <c r="DN36" t="e">
        <f>AND(#REF!,"AAAAAH1e/3U=")</f>
        <v>#REF!</v>
      </c>
      <c r="DO36" t="e">
        <f>AND(#REF!,"AAAAAH1e/3Y=")</f>
        <v>#REF!</v>
      </c>
      <c r="DP36" t="e">
        <f>AND(#REF!,"AAAAAH1e/3c=")</f>
        <v>#REF!</v>
      </c>
      <c r="DQ36" t="e">
        <f>AND(#REF!,"AAAAAH1e/3g=")</f>
        <v>#REF!</v>
      </c>
      <c r="DR36" t="e">
        <f>AND(#REF!,"AAAAAH1e/3k=")</f>
        <v>#REF!</v>
      </c>
      <c r="DS36" t="e">
        <f>AND(#REF!,"AAAAAH1e/3o=")</f>
        <v>#REF!</v>
      </c>
      <c r="DT36" t="e">
        <f>AND(#REF!,"AAAAAH1e/3s=")</f>
        <v>#REF!</v>
      </c>
      <c r="DU36" t="e">
        <f>AND(#REF!,"AAAAAH1e/3w=")</f>
        <v>#REF!</v>
      </c>
      <c r="DV36" t="e">
        <f>AND(#REF!,"AAAAAH1e/30=")</f>
        <v>#REF!</v>
      </c>
      <c r="DW36" t="e">
        <f>AND(#REF!,"AAAAAH1e/34=")</f>
        <v>#REF!</v>
      </c>
      <c r="DX36" t="e">
        <f>AND(#REF!,"AAAAAH1e/38=")</f>
        <v>#REF!</v>
      </c>
      <c r="DY36" t="e">
        <f>AND(#REF!,"AAAAAH1e/4A=")</f>
        <v>#REF!</v>
      </c>
      <c r="DZ36" t="e">
        <f>AND(#REF!,"AAAAAH1e/4E=")</f>
        <v>#REF!</v>
      </c>
      <c r="EA36" t="e">
        <f>AND(#REF!,"AAAAAH1e/4I=")</f>
        <v>#REF!</v>
      </c>
      <c r="EB36" t="e">
        <f>AND(#REF!,"AAAAAH1e/4M=")</f>
        <v>#REF!</v>
      </c>
      <c r="EC36" t="e">
        <f>AND(#REF!,"AAAAAH1e/4Q=")</f>
        <v>#REF!</v>
      </c>
      <c r="ED36" t="e">
        <f>AND(#REF!,"AAAAAH1e/4U=")</f>
        <v>#REF!</v>
      </c>
      <c r="EE36" t="e">
        <f>IF(#REF!,"AAAAAH1e/4Y=",0)</f>
        <v>#REF!</v>
      </c>
      <c r="EF36" t="e">
        <f>AND(#REF!,"AAAAAH1e/4c=")</f>
        <v>#REF!</v>
      </c>
      <c r="EG36" t="e">
        <f>AND(#REF!,"AAAAAH1e/4g=")</f>
        <v>#REF!</v>
      </c>
      <c r="EH36" t="e">
        <f>AND(#REF!,"AAAAAH1e/4k=")</f>
        <v>#REF!</v>
      </c>
      <c r="EI36" t="e">
        <f>AND(#REF!,"AAAAAH1e/4o=")</f>
        <v>#REF!</v>
      </c>
      <c r="EJ36" t="e">
        <f>AND(#REF!,"AAAAAH1e/4s=")</f>
        <v>#REF!</v>
      </c>
      <c r="EK36" t="e">
        <f>AND(#REF!,"AAAAAH1e/4w=")</f>
        <v>#REF!</v>
      </c>
      <c r="EL36" t="e">
        <f>AND(#REF!,"AAAAAH1e/40=")</f>
        <v>#REF!</v>
      </c>
      <c r="EM36" t="e">
        <f>AND(#REF!,"AAAAAH1e/44=")</f>
        <v>#REF!</v>
      </c>
      <c r="EN36" t="e">
        <f>AND(#REF!,"AAAAAH1e/48=")</f>
        <v>#REF!</v>
      </c>
      <c r="EO36" t="e">
        <f>AND(#REF!,"AAAAAH1e/5A=")</f>
        <v>#REF!</v>
      </c>
      <c r="EP36" t="e">
        <f>AND(#REF!,"AAAAAH1e/5E=")</f>
        <v>#REF!</v>
      </c>
      <c r="EQ36" t="e">
        <f>AND(#REF!,"AAAAAH1e/5I=")</f>
        <v>#REF!</v>
      </c>
      <c r="ER36" t="e">
        <f>AND(#REF!,"AAAAAH1e/5M=")</f>
        <v>#REF!</v>
      </c>
      <c r="ES36" t="e">
        <f>AND(#REF!,"AAAAAH1e/5Q=")</f>
        <v>#REF!</v>
      </c>
      <c r="ET36" t="e">
        <f>AND(#REF!,"AAAAAH1e/5U=")</f>
        <v>#REF!</v>
      </c>
      <c r="EU36" t="e">
        <f>AND(#REF!,"AAAAAH1e/5Y=")</f>
        <v>#REF!</v>
      </c>
      <c r="EV36" t="e">
        <f>AND(#REF!,"AAAAAH1e/5c=")</f>
        <v>#REF!</v>
      </c>
      <c r="EW36" t="e">
        <f>AND(#REF!,"AAAAAH1e/5g=")</f>
        <v>#REF!</v>
      </c>
      <c r="EX36" t="e">
        <f>AND(#REF!,"AAAAAH1e/5k=")</f>
        <v>#REF!</v>
      </c>
      <c r="EY36" t="e">
        <f>AND(#REF!,"AAAAAH1e/5o=")</f>
        <v>#REF!</v>
      </c>
      <c r="EZ36" t="e">
        <f>AND(#REF!,"AAAAAH1e/5s=")</f>
        <v>#REF!</v>
      </c>
      <c r="FA36" t="e">
        <f>IF(#REF!,"AAAAAH1e/5w=",0)</f>
        <v>#REF!</v>
      </c>
      <c r="FB36" t="e">
        <f>AND(#REF!,"AAAAAH1e/50=")</f>
        <v>#REF!</v>
      </c>
      <c r="FC36" t="e">
        <f>AND(#REF!,"AAAAAH1e/54=")</f>
        <v>#REF!</v>
      </c>
      <c r="FD36" t="e">
        <f>AND(#REF!,"AAAAAH1e/58=")</f>
        <v>#REF!</v>
      </c>
      <c r="FE36" t="e">
        <f>AND(#REF!,"AAAAAH1e/6A=")</f>
        <v>#REF!</v>
      </c>
      <c r="FF36" t="e">
        <f>AND(#REF!,"AAAAAH1e/6E=")</f>
        <v>#REF!</v>
      </c>
      <c r="FG36" t="e">
        <f>AND(#REF!,"AAAAAH1e/6I=")</f>
        <v>#REF!</v>
      </c>
      <c r="FH36" t="e">
        <f>AND(#REF!,"AAAAAH1e/6M=")</f>
        <v>#REF!</v>
      </c>
      <c r="FI36" t="e">
        <f>AND(#REF!,"AAAAAH1e/6Q=")</f>
        <v>#REF!</v>
      </c>
      <c r="FJ36" t="e">
        <f>AND(#REF!,"AAAAAH1e/6U=")</f>
        <v>#REF!</v>
      </c>
      <c r="FK36" t="e">
        <f>AND(#REF!,"AAAAAH1e/6Y=")</f>
        <v>#REF!</v>
      </c>
      <c r="FL36" t="e">
        <f>AND(#REF!,"AAAAAH1e/6c=")</f>
        <v>#REF!</v>
      </c>
      <c r="FM36" t="e">
        <f>AND(#REF!,"AAAAAH1e/6g=")</f>
        <v>#REF!</v>
      </c>
      <c r="FN36" t="e">
        <f>AND(#REF!,"AAAAAH1e/6k=")</f>
        <v>#REF!</v>
      </c>
      <c r="FO36" t="e">
        <f>AND(#REF!,"AAAAAH1e/6o=")</f>
        <v>#REF!</v>
      </c>
      <c r="FP36" t="e">
        <f>AND(#REF!,"AAAAAH1e/6s=")</f>
        <v>#REF!</v>
      </c>
      <c r="FQ36" t="e">
        <f>AND(#REF!,"AAAAAH1e/6w=")</f>
        <v>#REF!</v>
      </c>
      <c r="FR36" t="e">
        <f>AND(#REF!,"AAAAAH1e/60=")</f>
        <v>#REF!</v>
      </c>
      <c r="FS36" t="e">
        <f>AND(#REF!,"AAAAAH1e/64=")</f>
        <v>#REF!</v>
      </c>
      <c r="FT36" t="e">
        <f>AND(#REF!,"AAAAAH1e/68=")</f>
        <v>#REF!</v>
      </c>
      <c r="FU36" t="e">
        <f>AND(#REF!,"AAAAAH1e/7A=")</f>
        <v>#REF!</v>
      </c>
      <c r="FV36" t="e">
        <f>AND(#REF!,"AAAAAH1e/7E=")</f>
        <v>#REF!</v>
      </c>
      <c r="FW36" t="e">
        <f>IF(#REF!,"AAAAAH1e/7I=",0)</f>
        <v>#REF!</v>
      </c>
      <c r="FX36" t="e">
        <f>AND(#REF!,"AAAAAH1e/7M=")</f>
        <v>#REF!</v>
      </c>
      <c r="FY36" t="e">
        <f>AND(#REF!,"AAAAAH1e/7Q=")</f>
        <v>#REF!</v>
      </c>
      <c r="FZ36" t="e">
        <f>AND(#REF!,"AAAAAH1e/7U=")</f>
        <v>#REF!</v>
      </c>
      <c r="GA36" t="e">
        <f>AND(#REF!,"AAAAAH1e/7Y=")</f>
        <v>#REF!</v>
      </c>
      <c r="GB36" t="e">
        <f>AND(#REF!,"AAAAAH1e/7c=")</f>
        <v>#REF!</v>
      </c>
      <c r="GC36" t="e">
        <f>AND(#REF!,"AAAAAH1e/7g=")</f>
        <v>#REF!</v>
      </c>
      <c r="GD36" t="e">
        <f>AND(#REF!,"AAAAAH1e/7k=")</f>
        <v>#REF!</v>
      </c>
      <c r="GE36" t="e">
        <f>AND(#REF!,"AAAAAH1e/7o=")</f>
        <v>#REF!</v>
      </c>
      <c r="GF36" t="e">
        <f>AND(#REF!,"AAAAAH1e/7s=")</f>
        <v>#REF!</v>
      </c>
      <c r="GG36" t="e">
        <f>AND(#REF!,"AAAAAH1e/7w=")</f>
        <v>#REF!</v>
      </c>
      <c r="GH36" t="e">
        <f>AND(#REF!,"AAAAAH1e/70=")</f>
        <v>#REF!</v>
      </c>
      <c r="GI36" t="e">
        <f>AND(#REF!,"AAAAAH1e/74=")</f>
        <v>#REF!</v>
      </c>
      <c r="GJ36" t="e">
        <f>AND(#REF!,"AAAAAH1e/78=")</f>
        <v>#REF!</v>
      </c>
      <c r="GK36" t="e">
        <f>AND(#REF!,"AAAAAH1e/8A=")</f>
        <v>#REF!</v>
      </c>
      <c r="GL36" t="e">
        <f>AND(#REF!,"AAAAAH1e/8E=")</f>
        <v>#REF!</v>
      </c>
      <c r="GM36" t="e">
        <f>AND(#REF!,"AAAAAH1e/8I=")</f>
        <v>#REF!</v>
      </c>
      <c r="GN36" t="e">
        <f>AND(#REF!,"AAAAAH1e/8M=")</f>
        <v>#REF!</v>
      </c>
      <c r="GO36" t="e">
        <f>AND(#REF!,"AAAAAH1e/8Q=")</f>
        <v>#REF!</v>
      </c>
      <c r="GP36" t="e">
        <f>AND(#REF!,"AAAAAH1e/8U=")</f>
        <v>#REF!</v>
      </c>
      <c r="GQ36" t="e">
        <f>AND(#REF!,"AAAAAH1e/8Y=")</f>
        <v>#REF!</v>
      </c>
      <c r="GR36" t="e">
        <f>AND(#REF!,"AAAAAH1e/8c=")</f>
        <v>#REF!</v>
      </c>
      <c r="GS36" t="e">
        <f>IF(#REF!,"AAAAAH1e/8g=",0)</f>
        <v>#REF!</v>
      </c>
      <c r="GT36" t="e">
        <f>AND(#REF!,"AAAAAH1e/8k=")</f>
        <v>#REF!</v>
      </c>
      <c r="GU36" t="e">
        <f>AND(#REF!,"AAAAAH1e/8o=")</f>
        <v>#REF!</v>
      </c>
      <c r="GV36" t="e">
        <f>AND(#REF!,"AAAAAH1e/8s=")</f>
        <v>#REF!</v>
      </c>
      <c r="GW36" t="e">
        <f>AND(#REF!,"AAAAAH1e/8w=")</f>
        <v>#REF!</v>
      </c>
      <c r="GX36" t="e">
        <f>AND(#REF!,"AAAAAH1e/80=")</f>
        <v>#REF!</v>
      </c>
      <c r="GY36" t="e">
        <f>AND(#REF!,"AAAAAH1e/84=")</f>
        <v>#REF!</v>
      </c>
      <c r="GZ36" t="e">
        <f>AND(#REF!,"AAAAAH1e/88=")</f>
        <v>#REF!</v>
      </c>
      <c r="HA36" t="e">
        <f>AND(#REF!,"AAAAAH1e/9A=")</f>
        <v>#REF!</v>
      </c>
      <c r="HB36" t="e">
        <f>AND(#REF!,"AAAAAH1e/9E=")</f>
        <v>#REF!</v>
      </c>
      <c r="HC36" t="e">
        <f>AND(#REF!,"AAAAAH1e/9I=")</f>
        <v>#REF!</v>
      </c>
      <c r="HD36" t="e">
        <f>AND(#REF!,"AAAAAH1e/9M=")</f>
        <v>#REF!</v>
      </c>
      <c r="HE36" t="e">
        <f>AND(#REF!,"AAAAAH1e/9Q=")</f>
        <v>#REF!</v>
      </c>
      <c r="HF36" t="e">
        <f>AND(#REF!,"AAAAAH1e/9U=")</f>
        <v>#REF!</v>
      </c>
      <c r="HG36" t="e">
        <f>AND(#REF!,"AAAAAH1e/9Y=")</f>
        <v>#REF!</v>
      </c>
      <c r="HH36" t="e">
        <f>AND(#REF!,"AAAAAH1e/9c=")</f>
        <v>#REF!</v>
      </c>
      <c r="HI36" t="e">
        <f>AND(#REF!,"AAAAAH1e/9g=")</f>
        <v>#REF!</v>
      </c>
      <c r="HJ36" t="e">
        <f>AND(#REF!,"AAAAAH1e/9k=")</f>
        <v>#REF!</v>
      </c>
      <c r="HK36" t="e">
        <f>AND(#REF!,"AAAAAH1e/9o=")</f>
        <v>#REF!</v>
      </c>
      <c r="HL36" t="e">
        <f>AND(#REF!,"AAAAAH1e/9s=")</f>
        <v>#REF!</v>
      </c>
      <c r="HM36" t="e">
        <f>AND(#REF!,"AAAAAH1e/9w=")</f>
        <v>#REF!</v>
      </c>
      <c r="HN36" t="e">
        <f>AND(#REF!,"AAAAAH1e/90=")</f>
        <v>#REF!</v>
      </c>
      <c r="HO36" t="e">
        <f>IF(#REF!,"AAAAAH1e/94=",0)</f>
        <v>#REF!</v>
      </c>
      <c r="HP36" t="e">
        <f>AND(#REF!,"AAAAAH1e/98=")</f>
        <v>#REF!</v>
      </c>
      <c r="HQ36" t="e">
        <f>AND(#REF!,"AAAAAH1e/+A=")</f>
        <v>#REF!</v>
      </c>
      <c r="HR36" t="e">
        <f>AND(#REF!,"AAAAAH1e/+E=")</f>
        <v>#REF!</v>
      </c>
      <c r="HS36" t="e">
        <f>AND(#REF!,"AAAAAH1e/+I=")</f>
        <v>#REF!</v>
      </c>
      <c r="HT36" t="e">
        <f>AND(#REF!,"AAAAAH1e/+M=")</f>
        <v>#REF!</v>
      </c>
      <c r="HU36" t="e">
        <f>AND(#REF!,"AAAAAH1e/+Q=")</f>
        <v>#REF!</v>
      </c>
      <c r="HV36" t="e">
        <f>AND(#REF!,"AAAAAH1e/+U=")</f>
        <v>#REF!</v>
      </c>
      <c r="HW36" t="e">
        <f>AND(#REF!,"AAAAAH1e/+Y=")</f>
        <v>#REF!</v>
      </c>
      <c r="HX36" t="e">
        <f>AND(#REF!,"AAAAAH1e/+c=")</f>
        <v>#REF!</v>
      </c>
      <c r="HY36" t="e">
        <f>AND(#REF!,"AAAAAH1e/+g=")</f>
        <v>#REF!</v>
      </c>
      <c r="HZ36" t="e">
        <f>AND(#REF!,"AAAAAH1e/+k=")</f>
        <v>#REF!</v>
      </c>
      <c r="IA36" t="e">
        <f>AND(#REF!,"AAAAAH1e/+o=")</f>
        <v>#REF!</v>
      </c>
      <c r="IB36" t="e">
        <f>AND(#REF!,"AAAAAH1e/+s=")</f>
        <v>#REF!</v>
      </c>
      <c r="IC36" t="e">
        <f>AND(#REF!,"AAAAAH1e/+w=")</f>
        <v>#REF!</v>
      </c>
      <c r="ID36" t="e">
        <f>AND(#REF!,"AAAAAH1e/+0=")</f>
        <v>#REF!</v>
      </c>
      <c r="IE36" t="e">
        <f>AND(#REF!,"AAAAAH1e/+4=")</f>
        <v>#REF!</v>
      </c>
      <c r="IF36" t="e">
        <f>AND(#REF!,"AAAAAH1e/+8=")</f>
        <v>#REF!</v>
      </c>
      <c r="IG36" t="e">
        <f>AND(#REF!,"AAAAAH1e//A=")</f>
        <v>#REF!</v>
      </c>
      <c r="IH36" t="e">
        <f>AND(#REF!,"AAAAAH1e//E=")</f>
        <v>#REF!</v>
      </c>
      <c r="II36" t="e">
        <f>AND(#REF!,"AAAAAH1e//I=")</f>
        <v>#REF!</v>
      </c>
      <c r="IJ36" t="e">
        <f>AND(#REF!,"AAAAAH1e//M=")</f>
        <v>#REF!</v>
      </c>
      <c r="IK36" t="e">
        <f>IF(#REF!,"AAAAAH1e//Q=",0)</f>
        <v>#REF!</v>
      </c>
      <c r="IL36" t="e">
        <f>AND(#REF!,"AAAAAH1e//U=")</f>
        <v>#REF!</v>
      </c>
      <c r="IM36" t="e">
        <f>AND(#REF!,"AAAAAH1e//Y=")</f>
        <v>#REF!</v>
      </c>
      <c r="IN36" t="e">
        <f>AND(#REF!,"AAAAAH1e//c=")</f>
        <v>#REF!</v>
      </c>
      <c r="IO36" t="e">
        <f>AND(#REF!,"AAAAAH1e//g=")</f>
        <v>#REF!</v>
      </c>
      <c r="IP36" t="e">
        <f>AND(#REF!,"AAAAAH1e//k=")</f>
        <v>#REF!</v>
      </c>
      <c r="IQ36" t="e">
        <f>AND(#REF!,"AAAAAH1e//o=")</f>
        <v>#REF!</v>
      </c>
      <c r="IR36" t="e">
        <f>AND(#REF!,"AAAAAH1e//s=")</f>
        <v>#REF!</v>
      </c>
      <c r="IS36" t="e">
        <f>AND(#REF!,"AAAAAH1e//w=")</f>
        <v>#REF!</v>
      </c>
      <c r="IT36" t="e">
        <f>AND(#REF!,"AAAAAH1e//0=")</f>
        <v>#REF!</v>
      </c>
      <c r="IU36" t="e">
        <f>AND(#REF!,"AAAAAH1e//4=")</f>
        <v>#REF!</v>
      </c>
      <c r="IV36" t="e">
        <f>AND(#REF!,"AAAAAH1e//8=")</f>
        <v>#REF!</v>
      </c>
    </row>
    <row r="37" spans="1:256">
      <c r="A37" t="e">
        <f>AND(#REF!,"AAAAAH/3/wA=")</f>
        <v>#REF!</v>
      </c>
      <c r="B37" t="e">
        <f>AND(#REF!,"AAAAAH/3/wE=")</f>
        <v>#REF!</v>
      </c>
      <c r="C37" t="e">
        <f>AND(#REF!,"AAAAAH/3/wI=")</f>
        <v>#REF!</v>
      </c>
      <c r="D37" t="e">
        <f>AND(#REF!,"AAAAAH/3/wM=")</f>
        <v>#REF!</v>
      </c>
      <c r="E37" t="e">
        <f>AND(#REF!,"AAAAAH/3/wQ=")</f>
        <v>#REF!</v>
      </c>
      <c r="F37" t="e">
        <f>AND(#REF!,"AAAAAH/3/wU=")</f>
        <v>#REF!</v>
      </c>
      <c r="G37" t="e">
        <f>AND(#REF!,"AAAAAH/3/wY=")</f>
        <v>#REF!</v>
      </c>
      <c r="H37" t="e">
        <f>AND(#REF!,"AAAAAH/3/wc=")</f>
        <v>#REF!</v>
      </c>
      <c r="I37" t="e">
        <f>AND(#REF!,"AAAAAH/3/wg=")</f>
        <v>#REF!</v>
      </c>
      <c r="J37" t="e">
        <f>AND(#REF!,"AAAAAH/3/wk=")</f>
        <v>#REF!</v>
      </c>
      <c r="K37" t="e">
        <f>IF(#REF!,"AAAAAH/3/wo=",0)</f>
        <v>#REF!</v>
      </c>
      <c r="L37" t="e">
        <f>AND(#REF!,"AAAAAH/3/ws=")</f>
        <v>#REF!</v>
      </c>
      <c r="M37" t="e">
        <f>AND(#REF!,"AAAAAH/3/ww=")</f>
        <v>#REF!</v>
      </c>
      <c r="N37" t="e">
        <f>AND(#REF!,"AAAAAH/3/w0=")</f>
        <v>#REF!</v>
      </c>
      <c r="O37" t="e">
        <f>AND(#REF!,"AAAAAH/3/w4=")</f>
        <v>#REF!</v>
      </c>
      <c r="P37" t="e">
        <f>AND(#REF!,"AAAAAH/3/w8=")</f>
        <v>#REF!</v>
      </c>
      <c r="Q37" t="e">
        <f>AND(#REF!,"AAAAAH/3/xA=")</f>
        <v>#REF!</v>
      </c>
      <c r="R37" t="e">
        <f>AND(#REF!,"AAAAAH/3/xE=")</f>
        <v>#REF!</v>
      </c>
      <c r="S37" t="e">
        <f>AND(#REF!,"AAAAAH/3/xI=")</f>
        <v>#REF!</v>
      </c>
      <c r="T37" t="e">
        <f>AND(#REF!,"AAAAAH/3/xM=")</f>
        <v>#REF!</v>
      </c>
      <c r="U37" t="e">
        <f>AND(#REF!,"AAAAAH/3/xQ=")</f>
        <v>#REF!</v>
      </c>
      <c r="V37" t="e">
        <f>AND(#REF!,"AAAAAH/3/xU=")</f>
        <v>#REF!</v>
      </c>
      <c r="W37" t="e">
        <f>AND(#REF!,"AAAAAH/3/xY=")</f>
        <v>#REF!</v>
      </c>
      <c r="X37" t="e">
        <f>AND(#REF!,"AAAAAH/3/xc=")</f>
        <v>#REF!</v>
      </c>
      <c r="Y37" t="e">
        <f>AND(#REF!,"AAAAAH/3/xg=")</f>
        <v>#REF!</v>
      </c>
      <c r="Z37" t="e">
        <f>AND(#REF!,"AAAAAH/3/xk=")</f>
        <v>#REF!</v>
      </c>
      <c r="AA37" t="e">
        <f>AND(#REF!,"AAAAAH/3/xo=")</f>
        <v>#REF!</v>
      </c>
      <c r="AB37" t="e">
        <f>AND(#REF!,"AAAAAH/3/xs=")</f>
        <v>#REF!</v>
      </c>
      <c r="AC37" t="e">
        <f>AND(#REF!,"AAAAAH/3/xw=")</f>
        <v>#REF!</v>
      </c>
      <c r="AD37" t="e">
        <f>AND(#REF!,"AAAAAH/3/x0=")</f>
        <v>#REF!</v>
      </c>
      <c r="AE37" t="e">
        <f>AND(#REF!,"AAAAAH/3/x4=")</f>
        <v>#REF!</v>
      </c>
      <c r="AF37" t="e">
        <f>AND(#REF!,"AAAAAH/3/x8=")</f>
        <v>#REF!</v>
      </c>
      <c r="AG37" t="e">
        <f>IF(#REF!,"AAAAAH/3/yA=",0)</f>
        <v>#REF!</v>
      </c>
      <c r="AH37" t="e">
        <f>AND(#REF!,"AAAAAH/3/yE=")</f>
        <v>#REF!</v>
      </c>
      <c r="AI37" t="e">
        <f>AND(#REF!,"AAAAAH/3/yI=")</f>
        <v>#REF!</v>
      </c>
      <c r="AJ37" t="e">
        <f>AND(#REF!,"AAAAAH/3/yM=")</f>
        <v>#REF!</v>
      </c>
      <c r="AK37" t="e">
        <f>AND(#REF!,"AAAAAH/3/yQ=")</f>
        <v>#REF!</v>
      </c>
      <c r="AL37" t="e">
        <f>AND(#REF!,"AAAAAH/3/yU=")</f>
        <v>#REF!</v>
      </c>
      <c r="AM37" t="e">
        <f>AND(#REF!,"AAAAAH/3/yY=")</f>
        <v>#REF!</v>
      </c>
      <c r="AN37" t="e">
        <f>AND(#REF!,"AAAAAH/3/yc=")</f>
        <v>#REF!</v>
      </c>
      <c r="AO37" t="e">
        <f>AND(#REF!,"AAAAAH/3/yg=")</f>
        <v>#REF!</v>
      </c>
      <c r="AP37" t="e">
        <f>AND(#REF!,"AAAAAH/3/yk=")</f>
        <v>#REF!</v>
      </c>
      <c r="AQ37" t="e">
        <f>AND(#REF!,"AAAAAH/3/yo=")</f>
        <v>#REF!</v>
      </c>
      <c r="AR37" t="e">
        <f>AND(#REF!,"AAAAAH/3/ys=")</f>
        <v>#REF!</v>
      </c>
      <c r="AS37" t="e">
        <f>AND(#REF!,"AAAAAH/3/yw=")</f>
        <v>#REF!</v>
      </c>
      <c r="AT37" t="e">
        <f>AND(#REF!,"AAAAAH/3/y0=")</f>
        <v>#REF!</v>
      </c>
      <c r="AU37" t="e">
        <f>AND(#REF!,"AAAAAH/3/y4=")</f>
        <v>#REF!</v>
      </c>
      <c r="AV37" t="e">
        <f>AND(#REF!,"AAAAAH/3/y8=")</f>
        <v>#REF!</v>
      </c>
      <c r="AW37" t="e">
        <f>AND(#REF!,"AAAAAH/3/zA=")</f>
        <v>#REF!</v>
      </c>
      <c r="AX37" t="e">
        <f>AND(#REF!,"AAAAAH/3/zE=")</f>
        <v>#REF!</v>
      </c>
      <c r="AY37" t="e">
        <f>AND(#REF!,"AAAAAH/3/zI=")</f>
        <v>#REF!</v>
      </c>
      <c r="AZ37" t="e">
        <f>AND(#REF!,"AAAAAH/3/zM=")</f>
        <v>#REF!</v>
      </c>
      <c r="BA37" t="e">
        <f>AND(#REF!,"AAAAAH/3/zQ=")</f>
        <v>#REF!</v>
      </c>
      <c r="BB37" t="e">
        <f>AND(#REF!,"AAAAAH/3/zU=")</f>
        <v>#REF!</v>
      </c>
      <c r="BC37" t="e">
        <f>IF(#REF!,"AAAAAH/3/zY=",0)</f>
        <v>#REF!</v>
      </c>
      <c r="BD37" t="e">
        <f>AND(#REF!,"AAAAAH/3/zc=")</f>
        <v>#REF!</v>
      </c>
      <c r="BE37" t="e">
        <f>AND(#REF!,"AAAAAH/3/zg=")</f>
        <v>#REF!</v>
      </c>
      <c r="BF37" t="e">
        <f>AND(#REF!,"AAAAAH/3/zk=")</f>
        <v>#REF!</v>
      </c>
      <c r="BG37" t="e">
        <f>AND(#REF!,"AAAAAH/3/zo=")</f>
        <v>#REF!</v>
      </c>
      <c r="BH37" t="e">
        <f>AND(#REF!,"AAAAAH/3/zs=")</f>
        <v>#REF!</v>
      </c>
      <c r="BI37" t="e">
        <f>AND(#REF!,"AAAAAH/3/zw=")</f>
        <v>#REF!</v>
      </c>
      <c r="BJ37" t="e">
        <f>AND(#REF!,"AAAAAH/3/z0=")</f>
        <v>#REF!</v>
      </c>
      <c r="BK37" t="e">
        <f>AND(#REF!,"AAAAAH/3/z4=")</f>
        <v>#REF!</v>
      </c>
      <c r="BL37" t="e">
        <f>AND(#REF!,"AAAAAH/3/z8=")</f>
        <v>#REF!</v>
      </c>
      <c r="BM37" t="e">
        <f>AND(#REF!,"AAAAAH/3/0A=")</f>
        <v>#REF!</v>
      </c>
      <c r="BN37" t="e">
        <f>AND(#REF!,"AAAAAH/3/0E=")</f>
        <v>#REF!</v>
      </c>
      <c r="BO37" t="e">
        <f>AND(#REF!,"AAAAAH/3/0I=")</f>
        <v>#REF!</v>
      </c>
      <c r="BP37" t="e">
        <f>AND(#REF!,"AAAAAH/3/0M=")</f>
        <v>#REF!</v>
      </c>
      <c r="BQ37" t="e">
        <f>AND(#REF!,"AAAAAH/3/0Q=")</f>
        <v>#REF!</v>
      </c>
      <c r="BR37" t="e">
        <f>AND(#REF!,"AAAAAH/3/0U=")</f>
        <v>#REF!</v>
      </c>
      <c r="BS37" t="e">
        <f>AND(#REF!,"AAAAAH/3/0Y=")</f>
        <v>#REF!</v>
      </c>
      <c r="BT37" t="e">
        <f>AND(#REF!,"AAAAAH/3/0c=")</f>
        <v>#REF!</v>
      </c>
      <c r="BU37" t="e">
        <f>AND(#REF!,"AAAAAH/3/0g=")</f>
        <v>#REF!</v>
      </c>
      <c r="BV37" t="e">
        <f>AND(#REF!,"AAAAAH/3/0k=")</f>
        <v>#REF!</v>
      </c>
      <c r="BW37" t="e">
        <f>AND(#REF!,"AAAAAH/3/0o=")</f>
        <v>#REF!</v>
      </c>
      <c r="BX37" t="e">
        <f>AND(#REF!,"AAAAAH/3/0s=")</f>
        <v>#REF!</v>
      </c>
      <c r="BY37" t="e">
        <f>IF(#REF!,"AAAAAH/3/0w=",0)</f>
        <v>#REF!</v>
      </c>
      <c r="BZ37" t="e">
        <f>AND(#REF!,"AAAAAH/3/00=")</f>
        <v>#REF!</v>
      </c>
      <c r="CA37" t="e">
        <f>AND(#REF!,"AAAAAH/3/04=")</f>
        <v>#REF!</v>
      </c>
      <c r="CB37" t="e">
        <f>AND(#REF!,"AAAAAH/3/08=")</f>
        <v>#REF!</v>
      </c>
      <c r="CC37" t="e">
        <f>AND(#REF!,"AAAAAH/3/1A=")</f>
        <v>#REF!</v>
      </c>
      <c r="CD37" t="e">
        <f>AND(#REF!,"AAAAAH/3/1E=")</f>
        <v>#REF!</v>
      </c>
      <c r="CE37" t="e">
        <f>AND(#REF!,"AAAAAH/3/1I=")</f>
        <v>#REF!</v>
      </c>
      <c r="CF37" t="e">
        <f>AND(#REF!,"AAAAAH/3/1M=")</f>
        <v>#REF!</v>
      </c>
      <c r="CG37" t="e">
        <f>AND(#REF!,"AAAAAH/3/1Q=")</f>
        <v>#REF!</v>
      </c>
      <c r="CH37" t="e">
        <f>AND(#REF!,"AAAAAH/3/1U=")</f>
        <v>#REF!</v>
      </c>
      <c r="CI37" t="e">
        <f>AND(#REF!,"AAAAAH/3/1Y=")</f>
        <v>#REF!</v>
      </c>
      <c r="CJ37" t="e">
        <f>AND(#REF!,"AAAAAH/3/1c=")</f>
        <v>#REF!</v>
      </c>
      <c r="CK37" t="e">
        <f>AND(#REF!,"AAAAAH/3/1g=")</f>
        <v>#REF!</v>
      </c>
      <c r="CL37" t="e">
        <f>AND(#REF!,"AAAAAH/3/1k=")</f>
        <v>#REF!</v>
      </c>
      <c r="CM37" t="e">
        <f>AND(#REF!,"AAAAAH/3/1o=")</f>
        <v>#REF!</v>
      </c>
      <c r="CN37" t="e">
        <f>AND(#REF!,"AAAAAH/3/1s=")</f>
        <v>#REF!</v>
      </c>
      <c r="CO37" t="e">
        <f>AND(#REF!,"AAAAAH/3/1w=")</f>
        <v>#REF!</v>
      </c>
      <c r="CP37" t="e">
        <f>AND(#REF!,"AAAAAH/3/10=")</f>
        <v>#REF!</v>
      </c>
      <c r="CQ37" t="e">
        <f>AND(#REF!,"AAAAAH/3/14=")</f>
        <v>#REF!</v>
      </c>
      <c r="CR37" t="e">
        <f>AND(#REF!,"AAAAAH/3/18=")</f>
        <v>#REF!</v>
      </c>
      <c r="CS37" t="e">
        <f>AND(#REF!,"AAAAAH/3/2A=")</f>
        <v>#REF!</v>
      </c>
      <c r="CT37" t="e">
        <f>AND(#REF!,"AAAAAH/3/2E=")</f>
        <v>#REF!</v>
      </c>
      <c r="CU37" t="e">
        <f>IF(#REF!,"AAAAAH/3/2I=",0)</f>
        <v>#REF!</v>
      </c>
      <c r="CV37" t="e">
        <f>AND(#REF!,"AAAAAH/3/2M=")</f>
        <v>#REF!</v>
      </c>
      <c r="CW37" t="e">
        <f>AND(#REF!,"AAAAAH/3/2Q=")</f>
        <v>#REF!</v>
      </c>
      <c r="CX37" t="e">
        <f>AND(#REF!,"AAAAAH/3/2U=")</f>
        <v>#REF!</v>
      </c>
      <c r="CY37" t="e">
        <f>AND(#REF!,"AAAAAH/3/2Y=")</f>
        <v>#REF!</v>
      </c>
      <c r="CZ37" t="e">
        <f>AND(#REF!,"AAAAAH/3/2c=")</f>
        <v>#REF!</v>
      </c>
      <c r="DA37" t="e">
        <f>AND(#REF!,"AAAAAH/3/2g=")</f>
        <v>#REF!</v>
      </c>
      <c r="DB37" t="e">
        <f>AND(#REF!,"AAAAAH/3/2k=")</f>
        <v>#REF!</v>
      </c>
      <c r="DC37" t="e">
        <f>AND(#REF!,"AAAAAH/3/2o=")</f>
        <v>#REF!</v>
      </c>
      <c r="DD37" t="e">
        <f>AND(#REF!,"AAAAAH/3/2s=")</f>
        <v>#REF!</v>
      </c>
      <c r="DE37" t="e">
        <f>AND(#REF!,"AAAAAH/3/2w=")</f>
        <v>#REF!</v>
      </c>
      <c r="DF37" t="e">
        <f>AND(#REF!,"AAAAAH/3/20=")</f>
        <v>#REF!</v>
      </c>
      <c r="DG37" t="e">
        <f>AND(#REF!,"AAAAAH/3/24=")</f>
        <v>#REF!</v>
      </c>
      <c r="DH37" t="e">
        <f>AND(#REF!,"AAAAAH/3/28=")</f>
        <v>#REF!</v>
      </c>
      <c r="DI37" t="e">
        <f>AND(#REF!,"AAAAAH/3/3A=")</f>
        <v>#REF!</v>
      </c>
      <c r="DJ37" t="e">
        <f>AND(#REF!,"AAAAAH/3/3E=")</f>
        <v>#REF!</v>
      </c>
      <c r="DK37" t="e">
        <f>AND(#REF!,"AAAAAH/3/3I=")</f>
        <v>#REF!</v>
      </c>
      <c r="DL37" t="e">
        <f>AND(#REF!,"AAAAAH/3/3M=")</f>
        <v>#REF!</v>
      </c>
      <c r="DM37" t="e">
        <f>AND(#REF!,"AAAAAH/3/3Q=")</f>
        <v>#REF!</v>
      </c>
      <c r="DN37" t="e">
        <f>AND(#REF!,"AAAAAH/3/3U=")</f>
        <v>#REF!</v>
      </c>
      <c r="DO37" t="e">
        <f>AND(#REF!,"AAAAAH/3/3Y=")</f>
        <v>#REF!</v>
      </c>
      <c r="DP37" t="e">
        <f>AND(#REF!,"AAAAAH/3/3c=")</f>
        <v>#REF!</v>
      </c>
      <c r="DQ37" t="e">
        <f>IF(#REF!,"AAAAAH/3/3g=",0)</f>
        <v>#REF!</v>
      </c>
      <c r="DR37" t="e">
        <f>AND(#REF!,"AAAAAH/3/3k=")</f>
        <v>#REF!</v>
      </c>
      <c r="DS37" t="e">
        <f>AND(#REF!,"AAAAAH/3/3o=")</f>
        <v>#REF!</v>
      </c>
      <c r="DT37" t="e">
        <f>AND(#REF!,"AAAAAH/3/3s=")</f>
        <v>#REF!</v>
      </c>
      <c r="DU37" t="e">
        <f>AND(#REF!,"AAAAAH/3/3w=")</f>
        <v>#REF!</v>
      </c>
      <c r="DV37" t="e">
        <f>AND(#REF!,"AAAAAH/3/30=")</f>
        <v>#REF!</v>
      </c>
      <c r="DW37" t="e">
        <f>AND(#REF!,"AAAAAH/3/34=")</f>
        <v>#REF!</v>
      </c>
      <c r="DX37" t="e">
        <f>AND(#REF!,"AAAAAH/3/38=")</f>
        <v>#REF!</v>
      </c>
      <c r="DY37" t="e">
        <f>AND(#REF!,"AAAAAH/3/4A=")</f>
        <v>#REF!</v>
      </c>
      <c r="DZ37" t="e">
        <f>AND(#REF!,"AAAAAH/3/4E=")</f>
        <v>#REF!</v>
      </c>
      <c r="EA37" t="e">
        <f>AND(#REF!,"AAAAAH/3/4I=")</f>
        <v>#REF!</v>
      </c>
      <c r="EB37" t="e">
        <f>AND(#REF!,"AAAAAH/3/4M=")</f>
        <v>#REF!</v>
      </c>
      <c r="EC37" t="e">
        <f>AND(#REF!,"AAAAAH/3/4Q=")</f>
        <v>#REF!</v>
      </c>
      <c r="ED37" t="e">
        <f>AND(#REF!,"AAAAAH/3/4U=")</f>
        <v>#REF!</v>
      </c>
      <c r="EE37" t="e">
        <f>AND(#REF!,"AAAAAH/3/4Y=")</f>
        <v>#REF!</v>
      </c>
      <c r="EF37" t="e">
        <f>AND(#REF!,"AAAAAH/3/4c=")</f>
        <v>#REF!</v>
      </c>
      <c r="EG37" t="e">
        <f>AND(#REF!,"AAAAAH/3/4g=")</f>
        <v>#REF!</v>
      </c>
      <c r="EH37" t="e">
        <f>AND(#REF!,"AAAAAH/3/4k=")</f>
        <v>#REF!</v>
      </c>
      <c r="EI37" t="e">
        <f>AND(#REF!,"AAAAAH/3/4o=")</f>
        <v>#REF!</v>
      </c>
      <c r="EJ37" t="e">
        <f>AND(#REF!,"AAAAAH/3/4s=")</f>
        <v>#REF!</v>
      </c>
      <c r="EK37" t="e">
        <f>AND(#REF!,"AAAAAH/3/4w=")</f>
        <v>#REF!</v>
      </c>
      <c r="EL37" t="e">
        <f>AND(#REF!,"AAAAAH/3/40=")</f>
        <v>#REF!</v>
      </c>
      <c r="EM37" t="e">
        <f>IF(#REF!,"AAAAAH/3/44=",0)</f>
        <v>#REF!</v>
      </c>
      <c r="EN37" t="e">
        <f>AND(#REF!,"AAAAAH/3/48=")</f>
        <v>#REF!</v>
      </c>
      <c r="EO37" t="e">
        <f>AND(#REF!,"AAAAAH/3/5A=")</f>
        <v>#REF!</v>
      </c>
      <c r="EP37" t="e">
        <f>AND(#REF!,"AAAAAH/3/5E=")</f>
        <v>#REF!</v>
      </c>
      <c r="EQ37" t="e">
        <f>AND(#REF!,"AAAAAH/3/5I=")</f>
        <v>#REF!</v>
      </c>
      <c r="ER37" t="e">
        <f>AND(#REF!,"AAAAAH/3/5M=")</f>
        <v>#REF!</v>
      </c>
      <c r="ES37" t="e">
        <f>AND(#REF!,"AAAAAH/3/5Q=")</f>
        <v>#REF!</v>
      </c>
      <c r="ET37" t="e">
        <f>AND(#REF!,"AAAAAH/3/5U=")</f>
        <v>#REF!</v>
      </c>
      <c r="EU37" t="e">
        <f>AND(#REF!,"AAAAAH/3/5Y=")</f>
        <v>#REF!</v>
      </c>
      <c r="EV37" t="e">
        <f>AND(#REF!,"AAAAAH/3/5c=")</f>
        <v>#REF!</v>
      </c>
      <c r="EW37" t="e">
        <f>AND(#REF!,"AAAAAH/3/5g=")</f>
        <v>#REF!</v>
      </c>
      <c r="EX37" t="e">
        <f>AND(#REF!,"AAAAAH/3/5k=")</f>
        <v>#REF!</v>
      </c>
      <c r="EY37" t="e">
        <f>AND(#REF!,"AAAAAH/3/5o=")</f>
        <v>#REF!</v>
      </c>
      <c r="EZ37" t="e">
        <f>AND(#REF!,"AAAAAH/3/5s=")</f>
        <v>#REF!</v>
      </c>
      <c r="FA37" t="e">
        <f>AND(#REF!,"AAAAAH/3/5w=")</f>
        <v>#REF!</v>
      </c>
      <c r="FB37" t="e">
        <f>AND(#REF!,"AAAAAH/3/50=")</f>
        <v>#REF!</v>
      </c>
      <c r="FC37" t="e">
        <f>AND(#REF!,"AAAAAH/3/54=")</f>
        <v>#REF!</v>
      </c>
      <c r="FD37" t="e">
        <f>AND(#REF!,"AAAAAH/3/58=")</f>
        <v>#REF!</v>
      </c>
      <c r="FE37" t="e">
        <f>AND(#REF!,"AAAAAH/3/6A=")</f>
        <v>#REF!</v>
      </c>
      <c r="FF37" t="e">
        <f>AND(#REF!,"AAAAAH/3/6E=")</f>
        <v>#REF!</v>
      </c>
      <c r="FG37" t="e">
        <f>AND(#REF!,"AAAAAH/3/6I=")</f>
        <v>#REF!</v>
      </c>
      <c r="FH37" t="e">
        <f>AND(#REF!,"AAAAAH/3/6M=")</f>
        <v>#REF!</v>
      </c>
      <c r="FI37" t="e">
        <f>IF(#REF!,"AAAAAH/3/6Q=",0)</f>
        <v>#REF!</v>
      </c>
      <c r="FJ37" t="e">
        <f>AND(#REF!,"AAAAAH/3/6U=")</f>
        <v>#REF!</v>
      </c>
      <c r="FK37" t="e">
        <f>AND(#REF!,"AAAAAH/3/6Y=")</f>
        <v>#REF!</v>
      </c>
      <c r="FL37" t="e">
        <f>AND(#REF!,"AAAAAH/3/6c=")</f>
        <v>#REF!</v>
      </c>
      <c r="FM37" t="e">
        <f>AND(#REF!,"AAAAAH/3/6g=")</f>
        <v>#REF!</v>
      </c>
      <c r="FN37" t="e">
        <f>AND(#REF!,"AAAAAH/3/6k=")</f>
        <v>#REF!</v>
      </c>
      <c r="FO37" t="e">
        <f>AND(#REF!,"AAAAAH/3/6o=")</f>
        <v>#REF!</v>
      </c>
      <c r="FP37" t="e">
        <f>AND(#REF!,"AAAAAH/3/6s=")</f>
        <v>#REF!</v>
      </c>
      <c r="FQ37" t="e">
        <f>AND(#REF!,"AAAAAH/3/6w=")</f>
        <v>#REF!</v>
      </c>
      <c r="FR37" t="e">
        <f>AND(#REF!,"AAAAAH/3/60=")</f>
        <v>#REF!</v>
      </c>
      <c r="FS37" t="e">
        <f>AND(#REF!,"AAAAAH/3/64=")</f>
        <v>#REF!</v>
      </c>
      <c r="FT37" t="e">
        <f>AND(#REF!,"AAAAAH/3/68=")</f>
        <v>#REF!</v>
      </c>
      <c r="FU37" t="e">
        <f>AND(#REF!,"AAAAAH/3/7A=")</f>
        <v>#REF!</v>
      </c>
      <c r="FV37" t="e">
        <f>AND(#REF!,"AAAAAH/3/7E=")</f>
        <v>#REF!</v>
      </c>
      <c r="FW37" t="e">
        <f>AND(#REF!,"AAAAAH/3/7I=")</f>
        <v>#REF!</v>
      </c>
      <c r="FX37" t="e">
        <f>AND(#REF!,"AAAAAH/3/7M=")</f>
        <v>#REF!</v>
      </c>
      <c r="FY37" t="e">
        <f>AND(#REF!,"AAAAAH/3/7Q=")</f>
        <v>#REF!</v>
      </c>
      <c r="FZ37" t="e">
        <f>AND(#REF!,"AAAAAH/3/7U=")</f>
        <v>#REF!</v>
      </c>
      <c r="GA37" t="e">
        <f>AND(#REF!,"AAAAAH/3/7Y=")</f>
        <v>#REF!</v>
      </c>
      <c r="GB37" t="e">
        <f>AND(#REF!,"AAAAAH/3/7c=")</f>
        <v>#REF!</v>
      </c>
      <c r="GC37" t="e">
        <f>AND(#REF!,"AAAAAH/3/7g=")</f>
        <v>#REF!</v>
      </c>
      <c r="GD37" t="e">
        <f>AND(#REF!,"AAAAAH/3/7k=")</f>
        <v>#REF!</v>
      </c>
      <c r="GE37" t="e">
        <f>IF(#REF!,"AAAAAH/3/7o=",0)</f>
        <v>#REF!</v>
      </c>
      <c r="GF37" t="e">
        <f>AND(#REF!,"AAAAAH/3/7s=")</f>
        <v>#REF!</v>
      </c>
      <c r="GG37" t="e">
        <f>AND(#REF!,"AAAAAH/3/7w=")</f>
        <v>#REF!</v>
      </c>
      <c r="GH37" t="e">
        <f>AND(#REF!,"AAAAAH/3/70=")</f>
        <v>#REF!</v>
      </c>
      <c r="GI37" t="e">
        <f>AND(#REF!,"AAAAAH/3/74=")</f>
        <v>#REF!</v>
      </c>
      <c r="GJ37" t="e">
        <f>AND(#REF!,"AAAAAH/3/78=")</f>
        <v>#REF!</v>
      </c>
      <c r="GK37" t="e">
        <f>AND(#REF!,"AAAAAH/3/8A=")</f>
        <v>#REF!</v>
      </c>
      <c r="GL37" t="e">
        <f>AND(#REF!,"AAAAAH/3/8E=")</f>
        <v>#REF!</v>
      </c>
      <c r="GM37" t="e">
        <f>AND(#REF!,"AAAAAH/3/8I=")</f>
        <v>#REF!</v>
      </c>
      <c r="GN37" t="e">
        <f>AND(#REF!,"AAAAAH/3/8M=")</f>
        <v>#REF!</v>
      </c>
      <c r="GO37" t="e">
        <f>AND(#REF!,"AAAAAH/3/8Q=")</f>
        <v>#REF!</v>
      </c>
      <c r="GP37" t="e">
        <f>AND(#REF!,"AAAAAH/3/8U=")</f>
        <v>#REF!</v>
      </c>
      <c r="GQ37" t="e">
        <f>AND(#REF!,"AAAAAH/3/8Y=")</f>
        <v>#REF!</v>
      </c>
      <c r="GR37" t="e">
        <f>AND(#REF!,"AAAAAH/3/8c=")</f>
        <v>#REF!</v>
      </c>
      <c r="GS37" t="e">
        <f>AND(#REF!,"AAAAAH/3/8g=")</f>
        <v>#REF!</v>
      </c>
      <c r="GT37" t="e">
        <f>AND(#REF!,"AAAAAH/3/8k=")</f>
        <v>#REF!</v>
      </c>
      <c r="GU37" t="e">
        <f>AND(#REF!,"AAAAAH/3/8o=")</f>
        <v>#REF!</v>
      </c>
      <c r="GV37" t="e">
        <f>AND(#REF!,"AAAAAH/3/8s=")</f>
        <v>#REF!</v>
      </c>
      <c r="GW37" t="e">
        <f>AND(#REF!,"AAAAAH/3/8w=")</f>
        <v>#REF!</v>
      </c>
      <c r="GX37" t="e">
        <f>AND(#REF!,"AAAAAH/3/80=")</f>
        <v>#REF!</v>
      </c>
      <c r="GY37" t="e">
        <f>AND(#REF!,"AAAAAH/3/84=")</f>
        <v>#REF!</v>
      </c>
      <c r="GZ37" t="e">
        <f>AND(#REF!,"AAAAAH/3/88=")</f>
        <v>#REF!</v>
      </c>
      <c r="HA37" t="e">
        <f>IF(#REF!,"AAAAAH/3/9A=",0)</f>
        <v>#REF!</v>
      </c>
      <c r="HB37" t="e">
        <f>AND(#REF!,"AAAAAH/3/9E=")</f>
        <v>#REF!</v>
      </c>
      <c r="HC37" t="e">
        <f>AND(#REF!,"AAAAAH/3/9I=")</f>
        <v>#REF!</v>
      </c>
      <c r="HD37" t="e">
        <f>AND(#REF!,"AAAAAH/3/9M=")</f>
        <v>#REF!</v>
      </c>
      <c r="HE37" t="e">
        <f>AND(#REF!,"AAAAAH/3/9Q=")</f>
        <v>#REF!</v>
      </c>
      <c r="HF37" t="e">
        <f>AND(#REF!,"AAAAAH/3/9U=")</f>
        <v>#REF!</v>
      </c>
      <c r="HG37" t="e">
        <f>AND(#REF!,"AAAAAH/3/9Y=")</f>
        <v>#REF!</v>
      </c>
      <c r="HH37" t="e">
        <f>AND(#REF!,"AAAAAH/3/9c=")</f>
        <v>#REF!</v>
      </c>
      <c r="HI37" t="e">
        <f>AND(#REF!,"AAAAAH/3/9g=")</f>
        <v>#REF!</v>
      </c>
      <c r="HJ37" t="e">
        <f>AND(#REF!,"AAAAAH/3/9k=")</f>
        <v>#REF!</v>
      </c>
      <c r="HK37" t="e">
        <f>AND(#REF!,"AAAAAH/3/9o=")</f>
        <v>#REF!</v>
      </c>
      <c r="HL37" t="e">
        <f>AND(#REF!,"AAAAAH/3/9s=")</f>
        <v>#REF!</v>
      </c>
      <c r="HM37" t="e">
        <f>AND(#REF!,"AAAAAH/3/9w=")</f>
        <v>#REF!</v>
      </c>
      <c r="HN37" t="e">
        <f>AND(#REF!,"AAAAAH/3/90=")</f>
        <v>#REF!</v>
      </c>
      <c r="HO37" t="e">
        <f>AND(#REF!,"AAAAAH/3/94=")</f>
        <v>#REF!</v>
      </c>
      <c r="HP37" t="e">
        <f>AND(#REF!,"AAAAAH/3/98=")</f>
        <v>#REF!</v>
      </c>
      <c r="HQ37" t="e">
        <f>AND(#REF!,"AAAAAH/3/+A=")</f>
        <v>#REF!</v>
      </c>
      <c r="HR37" t="e">
        <f>AND(#REF!,"AAAAAH/3/+E=")</f>
        <v>#REF!</v>
      </c>
      <c r="HS37" t="e">
        <f>AND(#REF!,"AAAAAH/3/+I=")</f>
        <v>#REF!</v>
      </c>
      <c r="HT37" t="e">
        <f>AND(#REF!,"AAAAAH/3/+M=")</f>
        <v>#REF!</v>
      </c>
      <c r="HU37" t="e">
        <f>AND(#REF!,"AAAAAH/3/+Q=")</f>
        <v>#REF!</v>
      </c>
      <c r="HV37" t="e">
        <f>AND(#REF!,"AAAAAH/3/+U=")</f>
        <v>#REF!</v>
      </c>
      <c r="HW37" t="e">
        <f>IF(#REF!,"AAAAAH/3/+Y=",0)</f>
        <v>#REF!</v>
      </c>
      <c r="HX37" t="e">
        <f>AND(#REF!,"AAAAAH/3/+c=")</f>
        <v>#REF!</v>
      </c>
      <c r="HY37" t="e">
        <f>AND(#REF!,"AAAAAH/3/+g=")</f>
        <v>#REF!</v>
      </c>
      <c r="HZ37" t="e">
        <f>AND(#REF!,"AAAAAH/3/+k=")</f>
        <v>#REF!</v>
      </c>
      <c r="IA37" t="e">
        <f>AND(#REF!,"AAAAAH/3/+o=")</f>
        <v>#REF!</v>
      </c>
      <c r="IB37" t="e">
        <f>AND(#REF!,"AAAAAH/3/+s=")</f>
        <v>#REF!</v>
      </c>
      <c r="IC37" t="e">
        <f>AND(#REF!,"AAAAAH/3/+w=")</f>
        <v>#REF!</v>
      </c>
      <c r="ID37" t="e">
        <f>AND(#REF!,"AAAAAH/3/+0=")</f>
        <v>#REF!</v>
      </c>
      <c r="IE37" t="e">
        <f>AND(#REF!,"AAAAAH/3/+4=")</f>
        <v>#REF!</v>
      </c>
      <c r="IF37" t="e">
        <f>AND(#REF!,"AAAAAH/3/+8=")</f>
        <v>#REF!</v>
      </c>
      <c r="IG37" t="e">
        <f>AND(#REF!,"AAAAAH/3//A=")</f>
        <v>#REF!</v>
      </c>
      <c r="IH37" t="e">
        <f>AND(#REF!,"AAAAAH/3//E=")</f>
        <v>#REF!</v>
      </c>
      <c r="II37" t="e">
        <f>AND(#REF!,"AAAAAH/3//I=")</f>
        <v>#REF!</v>
      </c>
      <c r="IJ37" t="e">
        <f>AND(#REF!,"AAAAAH/3//M=")</f>
        <v>#REF!</v>
      </c>
      <c r="IK37" t="e">
        <f>AND(#REF!,"AAAAAH/3//Q=")</f>
        <v>#REF!</v>
      </c>
      <c r="IL37" t="e">
        <f>AND(#REF!,"AAAAAH/3//U=")</f>
        <v>#REF!</v>
      </c>
      <c r="IM37" t="e">
        <f>AND(#REF!,"AAAAAH/3//Y=")</f>
        <v>#REF!</v>
      </c>
      <c r="IN37" t="e">
        <f>AND(#REF!,"AAAAAH/3//c=")</f>
        <v>#REF!</v>
      </c>
      <c r="IO37" t="e">
        <f>AND(#REF!,"AAAAAH/3//g=")</f>
        <v>#REF!</v>
      </c>
      <c r="IP37" t="e">
        <f>AND(#REF!,"AAAAAH/3//k=")</f>
        <v>#REF!</v>
      </c>
      <c r="IQ37" t="e">
        <f>AND(#REF!,"AAAAAH/3//o=")</f>
        <v>#REF!</v>
      </c>
      <c r="IR37" t="e">
        <f>AND(#REF!,"AAAAAH/3//s=")</f>
        <v>#REF!</v>
      </c>
      <c r="IS37" t="e">
        <f>IF(#REF!,"AAAAAH/3//w=",0)</f>
        <v>#REF!</v>
      </c>
      <c r="IT37" t="e">
        <f>AND(#REF!,"AAAAAH/3//0=")</f>
        <v>#REF!</v>
      </c>
      <c r="IU37" t="e">
        <f>AND(#REF!,"AAAAAH/3//4=")</f>
        <v>#REF!</v>
      </c>
      <c r="IV37" t="e">
        <f>AND(#REF!,"AAAAAH/3//8=")</f>
        <v>#REF!</v>
      </c>
    </row>
    <row r="38" spans="1:256">
      <c r="A38" t="e">
        <f>AND(#REF!,"AAAAAF1O7QA=")</f>
        <v>#REF!</v>
      </c>
      <c r="B38" t="e">
        <f>AND(#REF!,"AAAAAF1O7QE=")</f>
        <v>#REF!</v>
      </c>
      <c r="C38" t="e">
        <f>AND(#REF!,"AAAAAF1O7QI=")</f>
        <v>#REF!</v>
      </c>
      <c r="D38" t="e">
        <f>AND(#REF!,"AAAAAF1O7QM=")</f>
        <v>#REF!</v>
      </c>
      <c r="E38" t="e">
        <f>AND(#REF!,"AAAAAF1O7QQ=")</f>
        <v>#REF!</v>
      </c>
      <c r="F38" t="e">
        <f>AND(#REF!,"AAAAAF1O7QU=")</f>
        <v>#REF!</v>
      </c>
      <c r="G38" t="e">
        <f>AND(#REF!,"AAAAAF1O7QY=")</f>
        <v>#REF!</v>
      </c>
      <c r="H38" t="e">
        <f>AND(#REF!,"AAAAAF1O7Qc=")</f>
        <v>#REF!</v>
      </c>
      <c r="I38" t="e">
        <f>AND(#REF!,"AAAAAF1O7Qg=")</f>
        <v>#REF!</v>
      </c>
      <c r="J38" t="e">
        <f>AND(#REF!,"AAAAAF1O7Qk=")</f>
        <v>#REF!</v>
      </c>
      <c r="K38" t="e">
        <f>AND(#REF!,"AAAAAF1O7Qo=")</f>
        <v>#REF!</v>
      </c>
      <c r="L38" t="e">
        <f>AND(#REF!,"AAAAAF1O7Qs=")</f>
        <v>#REF!</v>
      </c>
      <c r="M38" t="e">
        <f>AND(#REF!,"AAAAAF1O7Qw=")</f>
        <v>#REF!</v>
      </c>
      <c r="N38" t="e">
        <f>AND(#REF!,"AAAAAF1O7Q0=")</f>
        <v>#REF!</v>
      </c>
      <c r="O38" t="e">
        <f>AND(#REF!,"AAAAAF1O7Q4=")</f>
        <v>#REF!</v>
      </c>
      <c r="P38" t="e">
        <f>AND(#REF!,"AAAAAF1O7Q8=")</f>
        <v>#REF!</v>
      </c>
      <c r="Q38" t="e">
        <f>AND(#REF!,"AAAAAF1O7RA=")</f>
        <v>#REF!</v>
      </c>
      <c r="R38" t="e">
        <f>AND(#REF!,"AAAAAF1O7RE=")</f>
        <v>#REF!</v>
      </c>
      <c r="S38" t="e">
        <f>IF(#REF!,"AAAAAF1O7RI=",0)</f>
        <v>#REF!</v>
      </c>
      <c r="T38" t="e">
        <f>AND(#REF!,"AAAAAF1O7RM=")</f>
        <v>#REF!</v>
      </c>
      <c r="U38" t="e">
        <f>AND(#REF!,"AAAAAF1O7RQ=")</f>
        <v>#REF!</v>
      </c>
      <c r="V38" t="e">
        <f>AND(#REF!,"AAAAAF1O7RU=")</f>
        <v>#REF!</v>
      </c>
      <c r="W38" t="e">
        <f>AND(#REF!,"AAAAAF1O7RY=")</f>
        <v>#REF!</v>
      </c>
      <c r="X38" t="e">
        <f>AND(#REF!,"AAAAAF1O7Rc=")</f>
        <v>#REF!</v>
      </c>
      <c r="Y38" t="e">
        <f>AND(#REF!,"AAAAAF1O7Rg=")</f>
        <v>#REF!</v>
      </c>
      <c r="Z38" t="e">
        <f>AND(#REF!,"AAAAAF1O7Rk=")</f>
        <v>#REF!</v>
      </c>
      <c r="AA38" t="e">
        <f>AND(#REF!,"AAAAAF1O7Ro=")</f>
        <v>#REF!</v>
      </c>
      <c r="AB38" t="e">
        <f>AND(#REF!,"AAAAAF1O7Rs=")</f>
        <v>#REF!</v>
      </c>
      <c r="AC38" t="e">
        <f>AND(#REF!,"AAAAAF1O7Rw=")</f>
        <v>#REF!</v>
      </c>
      <c r="AD38" t="e">
        <f>AND(#REF!,"AAAAAF1O7R0=")</f>
        <v>#REF!</v>
      </c>
      <c r="AE38" t="e">
        <f>AND(#REF!,"AAAAAF1O7R4=")</f>
        <v>#REF!</v>
      </c>
      <c r="AF38" t="e">
        <f>AND(#REF!,"AAAAAF1O7R8=")</f>
        <v>#REF!</v>
      </c>
      <c r="AG38" t="e">
        <f>AND(#REF!,"AAAAAF1O7SA=")</f>
        <v>#REF!</v>
      </c>
      <c r="AH38" t="e">
        <f>AND(#REF!,"AAAAAF1O7SE=")</f>
        <v>#REF!</v>
      </c>
      <c r="AI38" t="e">
        <f>AND(#REF!,"AAAAAF1O7SI=")</f>
        <v>#REF!</v>
      </c>
      <c r="AJ38" t="e">
        <f>AND(#REF!,"AAAAAF1O7SM=")</f>
        <v>#REF!</v>
      </c>
      <c r="AK38" t="e">
        <f>AND(#REF!,"AAAAAF1O7SQ=")</f>
        <v>#REF!</v>
      </c>
      <c r="AL38" t="e">
        <f>AND(#REF!,"AAAAAF1O7SU=")</f>
        <v>#REF!</v>
      </c>
      <c r="AM38" t="e">
        <f>AND(#REF!,"AAAAAF1O7SY=")</f>
        <v>#REF!</v>
      </c>
      <c r="AN38" t="e">
        <f>AND(#REF!,"AAAAAF1O7Sc=")</f>
        <v>#REF!</v>
      </c>
      <c r="AO38" t="e">
        <f>IF(#REF!,"AAAAAF1O7Sg=",0)</f>
        <v>#REF!</v>
      </c>
      <c r="AP38" t="e">
        <f>AND(#REF!,"AAAAAF1O7Sk=")</f>
        <v>#REF!</v>
      </c>
      <c r="AQ38" t="e">
        <f>AND(#REF!,"AAAAAF1O7So=")</f>
        <v>#REF!</v>
      </c>
      <c r="AR38" t="e">
        <f>AND(#REF!,"AAAAAF1O7Ss=")</f>
        <v>#REF!</v>
      </c>
      <c r="AS38" t="e">
        <f>AND(#REF!,"AAAAAF1O7Sw=")</f>
        <v>#REF!</v>
      </c>
      <c r="AT38" t="e">
        <f>AND(#REF!,"AAAAAF1O7S0=")</f>
        <v>#REF!</v>
      </c>
      <c r="AU38" t="e">
        <f>AND(#REF!,"AAAAAF1O7S4=")</f>
        <v>#REF!</v>
      </c>
      <c r="AV38" t="e">
        <f>AND(#REF!,"AAAAAF1O7S8=")</f>
        <v>#REF!</v>
      </c>
      <c r="AW38" t="e">
        <f>AND(#REF!,"AAAAAF1O7TA=")</f>
        <v>#REF!</v>
      </c>
      <c r="AX38" t="e">
        <f>AND(#REF!,"AAAAAF1O7TE=")</f>
        <v>#REF!</v>
      </c>
      <c r="AY38" t="e">
        <f>AND(#REF!,"AAAAAF1O7TI=")</f>
        <v>#REF!</v>
      </c>
      <c r="AZ38" t="e">
        <f>AND(#REF!,"AAAAAF1O7TM=")</f>
        <v>#REF!</v>
      </c>
      <c r="BA38" t="e">
        <f>AND(#REF!,"AAAAAF1O7TQ=")</f>
        <v>#REF!</v>
      </c>
      <c r="BB38" t="e">
        <f>AND(#REF!,"AAAAAF1O7TU=")</f>
        <v>#REF!</v>
      </c>
      <c r="BC38" t="e">
        <f>AND(#REF!,"AAAAAF1O7TY=")</f>
        <v>#REF!</v>
      </c>
      <c r="BD38" t="e">
        <f>AND(#REF!,"AAAAAF1O7Tc=")</f>
        <v>#REF!</v>
      </c>
      <c r="BE38" t="e">
        <f>AND(#REF!,"AAAAAF1O7Tg=")</f>
        <v>#REF!</v>
      </c>
      <c r="BF38" t="e">
        <f>AND(#REF!,"AAAAAF1O7Tk=")</f>
        <v>#REF!</v>
      </c>
      <c r="BG38" t="e">
        <f>AND(#REF!,"AAAAAF1O7To=")</f>
        <v>#REF!</v>
      </c>
      <c r="BH38" t="e">
        <f>AND(#REF!,"AAAAAF1O7Ts=")</f>
        <v>#REF!</v>
      </c>
      <c r="BI38" t="e">
        <f>AND(#REF!,"AAAAAF1O7Tw=")</f>
        <v>#REF!</v>
      </c>
      <c r="BJ38" t="e">
        <f>AND(#REF!,"AAAAAF1O7T0=")</f>
        <v>#REF!</v>
      </c>
      <c r="BK38" t="e">
        <f>IF(#REF!,"AAAAAF1O7T4=",0)</f>
        <v>#REF!</v>
      </c>
      <c r="BL38" t="e">
        <f>AND(#REF!,"AAAAAF1O7T8=")</f>
        <v>#REF!</v>
      </c>
      <c r="BM38" t="e">
        <f>AND(#REF!,"AAAAAF1O7UA=")</f>
        <v>#REF!</v>
      </c>
      <c r="BN38" t="e">
        <f>AND(#REF!,"AAAAAF1O7UE=")</f>
        <v>#REF!</v>
      </c>
      <c r="BO38" t="e">
        <f>AND(#REF!,"AAAAAF1O7UI=")</f>
        <v>#REF!</v>
      </c>
      <c r="BP38" t="e">
        <f>AND(#REF!,"AAAAAF1O7UM=")</f>
        <v>#REF!</v>
      </c>
      <c r="BQ38" t="e">
        <f>AND(#REF!,"AAAAAF1O7UQ=")</f>
        <v>#REF!</v>
      </c>
      <c r="BR38" t="e">
        <f>AND(#REF!,"AAAAAF1O7UU=")</f>
        <v>#REF!</v>
      </c>
      <c r="BS38" t="e">
        <f>AND(#REF!,"AAAAAF1O7UY=")</f>
        <v>#REF!</v>
      </c>
      <c r="BT38" t="e">
        <f>AND(#REF!,"AAAAAF1O7Uc=")</f>
        <v>#REF!</v>
      </c>
      <c r="BU38" t="e">
        <f>AND(#REF!,"AAAAAF1O7Ug=")</f>
        <v>#REF!</v>
      </c>
      <c r="BV38" t="e">
        <f>AND(#REF!,"AAAAAF1O7Uk=")</f>
        <v>#REF!</v>
      </c>
      <c r="BW38" t="e">
        <f>AND(#REF!,"AAAAAF1O7Uo=")</f>
        <v>#REF!</v>
      </c>
      <c r="BX38" t="e">
        <f>AND(#REF!,"AAAAAF1O7Us=")</f>
        <v>#REF!</v>
      </c>
      <c r="BY38" t="e">
        <f>AND(#REF!,"AAAAAF1O7Uw=")</f>
        <v>#REF!</v>
      </c>
      <c r="BZ38" t="e">
        <f>AND(#REF!,"AAAAAF1O7U0=")</f>
        <v>#REF!</v>
      </c>
      <c r="CA38" t="e">
        <f>AND(#REF!,"AAAAAF1O7U4=")</f>
        <v>#REF!</v>
      </c>
      <c r="CB38" t="e">
        <f>AND(#REF!,"AAAAAF1O7U8=")</f>
        <v>#REF!</v>
      </c>
      <c r="CC38" t="e">
        <f>AND(#REF!,"AAAAAF1O7VA=")</f>
        <v>#REF!</v>
      </c>
      <c r="CD38" t="e">
        <f>AND(#REF!,"AAAAAF1O7VE=")</f>
        <v>#REF!</v>
      </c>
      <c r="CE38" t="e">
        <f>AND(#REF!,"AAAAAF1O7VI=")</f>
        <v>#REF!</v>
      </c>
      <c r="CF38" t="e">
        <f>AND(#REF!,"AAAAAF1O7VM=")</f>
        <v>#REF!</v>
      </c>
      <c r="CG38" t="e">
        <f>IF(#REF!,"AAAAAF1O7VQ=",0)</f>
        <v>#REF!</v>
      </c>
      <c r="CH38" t="e">
        <f>AND(#REF!,"AAAAAF1O7VU=")</f>
        <v>#REF!</v>
      </c>
      <c r="CI38" t="e">
        <f>AND(#REF!,"AAAAAF1O7VY=")</f>
        <v>#REF!</v>
      </c>
      <c r="CJ38" t="e">
        <f>AND(#REF!,"AAAAAF1O7Vc=")</f>
        <v>#REF!</v>
      </c>
      <c r="CK38" t="e">
        <f>AND(#REF!,"AAAAAF1O7Vg=")</f>
        <v>#REF!</v>
      </c>
      <c r="CL38" t="e">
        <f>AND(#REF!,"AAAAAF1O7Vk=")</f>
        <v>#REF!</v>
      </c>
      <c r="CM38" t="e">
        <f>AND(#REF!,"AAAAAF1O7Vo=")</f>
        <v>#REF!</v>
      </c>
      <c r="CN38" t="e">
        <f>AND(#REF!,"AAAAAF1O7Vs=")</f>
        <v>#REF!</v>
      </c>
      <c r="CO38" t="e">
        <f>AND(#REF!,"AAAAAF1O7Vw=")</f>
        <v>#REF!</v>
      </c>
      <c r="CP38" t="e">
        <f>AND(#REF!,"AAAAAF1O7V0=")</f>
        <v>#REF!</v>
      </c>
      <c r="CQ38" t="e">
        <f>AND(#REF!,"AAAAAF1O7V4=")</f>
        <v>#REF!</v>
      </c>
      <c r="CR38" t="e">
        <f>AND(#REF!,"AAAAAF1O7V8=")</f>
        <v>#REF!</v>
      </c>
      <c r="CS38" t="e">
        <f>AND(#REF!,"AAAAAF1O7WA=")</f>
        <v>#REF!</v>
      </c>
      <c r="CT38" t="e">
        <f>AND(#REF!,"AAAAAF1O7WE=")</f>
        <v>#REF!</v>
      </c>
      <c r="CU38" t="e">
        <f>AND(#REF!,"AAAAAF1O7WI=")</f>
        <v>#REF!</v>
      </c>
      <c r="CV38" t="e">
        <f>AND(#REF!,"AAAAAF1O7WM=")</f>
        <v>#REF!</v>
      </c>
      <c r="CW38" t="e">
        <f>AND(#REF!,"AAAAAF1O7WQ=")</f>
        <v>#REF!</v>
      </c>
      <c r="CX38" t="e">
        <f>AND(#REF!,"AAAAAF1O7WU=")</f>
        <v>#REF!</v>
      </c>
      <c r="CY38" t="e">
        <f>AND(#REF!,"AAAAAF1O7WY=")</f>
        <v>#REF!</v>
      </c>
      <c r="CZ38" t="e">
        <f>AND(#REF!,"AAAAAF1O7Wc=")</f>
        <v>#REF!</v>
      </c>
      <c r="DA38" t="e">
        <f>AND(#REF!,"AAAAAF1O7Wg=")</f>
        <v>#REF!</v>
      </c>
      <c r="DB38" t="e">
        <f>AND(#REF!,"AAAAAF1O7Wk=")</f>
        <v>#REF!</v>
      </c>
      <c r="DC38" t="e">
        <f>IF(#REF!,"AAAAAF1O7Wo=",0)</f>
        <v>#REF!</v>
      </c>
      <c r="DD38" t="e">
        <f>AND(#REF!,"AAAAAF1O7Ws=")</f>
        <v>#REF!</v>
      </c>
      <c r="DE38" t="e">
        <f>AND(#REF!,"AAAAAF1O7Ww=")</f>
        <v>#REF!</v>
      </c>
      <c r="DF38" t="e">
        <f>AND(#REF!,"AAAAAF1O7W0=")</f>
        <v>#REF!</v>
      </c>
      <c r="DG38" t="e">
        <f>AND(#REF!,"AAAAAF1O7W4=")</f>
        <v>#REF!</v>
      </c>
      <c r="DH38" t="e">
        <f>AND(#REF!,"AAAAAF1O7W8=")</f>
        <v>#REF!</v>
      </c>
      <c r="DI38" t="e">
        <f>AND(#REF!,"AAAAAF1O7XA=")</f>
        <v>#REF!</v>
      </c>
      <c r="DJ38" t="e">
        <f>AND(#REF!,"AAAAAF1O7XE=")</f>
        <v>#REF!</v>
      </c>
      <c r="DK38" t="e">
        <f>AND(#REF!,"AAAAAF1O7XI=")</f>
        <v>#REF!</v>
      </c>
      <c r="DL38" t="e">
        <f>AND(#REF!,"AAAAAF1O7XM=")</f>
        <v>#REF!</v>
      </c>
      <c r="DM38" t="e">
        <f>AND(#REF!,"AAAAAF1O7XQ=")</f>
        <v>#REF!</v>
      </c>
      <c r="DN38" t="e">
        <f>AND(#REF!,"AAAAAF1O7XU=")</f>
        <v>#REF!</v>
      </c>
      <c r="DO38" t="e">
        <f>AND(#REF!,"AAAAAF1O7XY=")</f>
        <v>#REF!</v>
      </c>
      <c r="DP38" t="e">
        <f>AND(#REF!,"AAAAAF1O7Xc=")</f>
        <v>#REF!</v>
      </c>
      <c r="DQ38" t="e">
        <f>AND(#REF!,"AAAAAF1O7Xg=")</f>
        <v>#REF!</v>
      </c>
      <c r="DR38" t="e">
        <f>AND(#REF!,"AAAAAF1O7Xk=")</f>
        <v>#REF!</v>
      </c>
      <c r="DS38" t="e">
        <f>AND(#REF!,"AAAAAF1O7Xo=")</f>
        <v>#REF!</v>
      </c>
      <c r="DT38" t="e">
        <f>AND(#REF!,"AAAAAF1O7Xs=")</f>
        <v>#REF!</v>
      </c>
      <c r="DU38" t="e">
        <f>AND(#REF!,"AAAAAF1O7Xw=")</f>
        <v>#REF!</v>
      </c>
      <c r="DV38" t="e">
        <f>AND(#REF!,"AAAAAF1O7X0=")</f>
        <v>#REF!</v>
      </c>
      <c r="DW38" t="e">
        <f>AND(#REF!,"AAAAAF1O7X4=")</f>
        <v>#REF!</v>
      </c>
      <c r="DX38" t="e">
        <f>AND(#REF!,"AAAAAF1O7X8=")</f>
        <v>#REF!</v>
      </c>
      <c r="DY38" t="e">
        <f>IF(#REF!,"AAAAAF1O7YA=",0)</f>
        <v>#REF!</v>
      </c>
      <c r="DZ38" t="e">
        <f>AND(#REF!,"AAAAAF1O7YE=")</f>
        <v>#REF!</v>
      </c>
      <c r="EA38" t="e">
        <f>AND(#REF!,"AAAAAF1O7YI=")</f>
        <v>#REF!</v>
      </c>
      <c r="EB38" t="e">
        <f>AND(#REF!,"AAAAAF1O7YM=")</f>
        <v>#REF!</v>
      </c>
      <c r="EC38" t="e">
        <f>AND(#REF!,"AAAAAF1O7YQ=")</f>
        <v>#REF!</v>
      </c>
      <c r="ED38" t="e">
        <f>AND(#REF!,"AAAAAF1O7YU=")</f>
        <v>#REF!</v>
      </c>
      <c r="EE38" t="e">
        <f>AND(#REF!,"AAAAAF1O7YY=")</f>
        <v>#REF!</v>
      </c>
      <c r="EF38" t="e">
        <f>AND(#REF!,"AAAAAF1O7Yc=")</f>
        <v>#REF!</v>
      </c>
      <c r="EG38" t="e">
        <f>AND(#REF!,"AAAAAF1O7Yg=")</f>
        <v>#REF!</v>
      </c>
      <c r="EH38" t="e">
        <f>AND(#REF!,"AAAAAF1O7Yk=")</f>
        <v>#REF!</v>
      </c>
      <c r="EI38" t="e">
        <f>AND(#REF!,"AAAAAF1O7Yo=")</f>
        <v>#REF!</v>
      </c>
      <c r="EJ38" t="e">
        <f>AND(#REF!,"AAAAAF1O7Ys=")</f>
        <v>#REF!</v>
      </c>
      <c r="EK38" t="e">
        <f>AND(#REF!,"AAAAAF1O7Yw=")</f>
        <v>#REF!</v>
      </c>
      <c r="EL38" t="e">
        <f>AND(#REF!,"AAAAAF1O7Y0=")</f>
        <v>#REF!</v>
      </c>
      <c r="EM38" t="e">
        <f>AND(#REF!,"AAAAAF1O7Y4=")</f>
        <v>#REF!</v>
      </c>
      <c r="EN38" t="e">
        <f>AND(#REF!,"AAAAAF1O7Y8=")</f>
        <v>#REF!</v>
      </c>
      <c r="EO38" t="e">
        <f>AND(#REF!,"AAAAAF1O7ZA=")</f>
        <v>#REF!</v>
      </c>
      <c r="EP38" t="e">
        <f>AND(#REF!,"AAAAAF1O7ZE=")</f>
        <v>#REF!</v>
      </c>
      <c r="EQ38" t="e">
        <f>AND(#REF!,"AAAAAF1O7ZI=")</f>
        <v>#REF!</v>
      </c>
      <c r="ER38" t="e">
        <f>AND(#REF!,"AAAAAF1O7ZM=")</f>
        <v>#REF!</v>
      </c>
      <c r="ES38" t="e">
        <f>AND(#REF!,"AAAAAF1O7ZQ=")</f>
        <v>#REF!</v>
      </c>
      <c r="ET38" t="e">
        <f>AND(#REF!,"AAAAAF1O7ZU=")</f>
        <v>#REF!</v>
      </c>
      <c r="EU38" t="e">
        <f>IF(#REF!,"AAAAAF1O7ZY=",0)</f>
        <v>#REF!</v>
      </c>
      <c r="EV38" t="e">
        <f>AND(#REF!,"AAAAAF1O7Zc=")</f>
        <v>#REF!</v>
      </c>
      <c r="EW38" t="e">
        <f>AND(#REF!,"AAAAAF1O7Zg=")</f>
        <v>#REF!</v>
      </c>
      <c r="EX38" t="e">
        <f>AND(#REF!,"AAAAAF1O7Zk=")</f>
        <v>#REF!</v>
      </c>
      <c r="EY38" t="e">
        <f>AND(#REF!,"AAAAAF1O7Zo=")</f>
        <v>#REF!</v>
      </c>
      <c r="EZ38" t="e">
        <f>AND(#REF!,"AAAAAF1O7Zs=")</f>
        <v>#REF!</v>
      </c>
      <c r="FA38" t="e">
        <f>AND(#REF!,"AAAAAF1O7Zw=")</f>
        <v>#REF!</v>
      </c>
      <c r="FB38" t="e">
        <f>AND(#REF!,"AAAAAF1O7Z0=")</f>
        <v>#REF!</v>
      </c>
      <c r="FC38" t="e">
        <f>AND(#REF!,"AAAAAF1O7Z4=")</f>
        <v>#REF!</v>
      </c>
      <c r="FD38" t="e">
        <f>AND(#REF!,"AAAAAF1O7Z8=")</f>
        <v>#REF!</v>
      </c>
      <c r="FE38" t="e">
        <f>AND(#REF!,"AAAAAF1O7aA=")</f>
        <v>#REF!</v>
      </c>
      <c r="FF38" t="e">
        <f>AND(#REF!,"AAAAAF1O7aE=")</f>
        <v>#REF!</v>
      </c>
      <c r="FG38" t="e">
        <f>AND(#REF!,"AAAAAF1O7aI=")</f>
        <v>#REF!</v>
      </c>
      <c r="FH38" t="e">
        <f>AND(#REF!,"AAAAAF1O7aM=")</f>
        <v>#REF!</v>
      </c>
      <c r="FI38" t="e">
        <f>AND(#REF!,"AAAAAF1O7aQ=")</f>
        <v>#REF!</v>
      </c>
      <c r="FJ38" t="e">
        <f>AND(#REF!,"AAAAAF1O7aU=")</f>
        <v>#REF!</v>
      </c>
      <c r="FK38" t="e">
        <f>AND(#REF!,"AAAAAF1O7aY=")</f>
        <v>#REF!</v>
      </c>
      <c r="FL38" t="e">
        <f>AND(#REF!,"AAAAAF1O7ac=")</f>
        <v>#REF!</v>
      </c>
      <c r="FM38" t="e">
        <f>AND(#REF!,"AAAAAF1O7ag=")</f>
        <v>#REF!</v>
      </c>
      <c r="FN38" t="e">
        <f>AND(#REF!,"AAAAAF1O7ak=")</f>
        <v>#REF!</v>
      </c>
      <c r="FO38" t="e">
        <f>AND(#REF!,"AAAAAF1O7ao=")</f>
        <v>#REF!</v>
      </c>
      <c r="FP38" t="e">
        <f>AND(#REF!,"AAAAAF1O7as=")</f>
        <v>#REF!</v>
      </c>
      <c r="FQ38" t="e">
        <f>IF(#REF!,"AAAAAF1O7aw=",0)</f>
        <v>#REF!</v>
      </c>
      <c r="FR38" t="e">
        <f>AND(#REF!,"AAAAAF1O7a0=")</f>
        <v>#REF!</v>
      </c>
      <c r="FS38" t="e">
        <f>AND(#REF!,"AAAAAF1O7a4=")</f>
        <v>#REF!</v>
      </c>
      <c r="FT38" t="e">
        <f>AND(#REF!,"AAAAAF1O7a8=")</f>
        <v>#REF!</v>
      </c>
      <c r="FU38" t="e">
        <f>AND(#REF!,"AAAAAF1O7bA=")</f>
        <v>#REF!</v>
      </c>
      <c r="FV38" t="e">
        <f>AND(#REF!,"AAAAAF1O7bE=")</f>
        <v>#REF!</v>
      </c>
      <c r="FW38" t="e">
        <f>AND(#REF!,"AAAAAF1O7bI=")</f>
        <v>#REF!</v>
      </c>
      <c r="FX38" t="e">
        <f>AND(#REF!,"AAAAAF1O7bM=")</f>
        <v>#REF!</v>
      </c>
      <c r="FY38" t="e">
        <f>AND(#REF!,"AAAAAF1O7bQ=")</f>
        <v>#REF!</v>
      </c>
      <c r="FZ38" t="e">
        <f>AND(#REF!,"AAAAAF1O7bU=")</f>
        <v>#REF!</v>
      </c>
      <c r="GA38" t="e">
        <f>AND(#REF!,"AAAAAF1O7bY=")</f>
        <v>#REF!</v>
      </c>
      <c r="GB38" t="e">
        <f>AND(#REF!,"AAAAAF1O7bc=")</f>
        <v>#REF!</v>
      </c>
      <c r="GC38" t="e">
        <f>AND(#REF!,"AAAAAF1O7bg=")</f>
        <v>#REF!</v>
      </c>
      <c r="GD38" t="e">
        <f>AND(#REF!,"AAAAAF1O7bk=")</f>
        <v>#REF!</v>
      </c>
      <c r="GE38" t="e">
        <f>AND(#REF!,"AAAAAF1O7bo=")</f>
        <v>#REF!</v>
      </c>
      <c r="GF38" t="e">
        <f>AND(#REF!,"AAAAAF1O7bs=")</f>
        <v>#REF!</v>
      </c>
      <c r="GG38" t="e">
        <f>AND(#REF!,"AAAAAF1O7bw=")</f>
        <v>#REF!</v>
      </c>
      <c r="GH38" t="e">
        <f>AND(#REF!,"AAAAAF1O7b0=")</f>
        <v>#REF!</v>
      </c>
      <c r="GI38" t="e">
        <f>AND(#REF!,"AAAAAF1O7b4=")</f>
        <v>#REF!</v>
      </c>
      <c r="GJ38" t="e">
        <f>AND(#REF!,"AAAAAF1O7b8=")</f>
        <v>#REF!</v>
      </c>
      <c r="GK38" t="e">
        <f>AND(#REF!,"AAAAAF1O7cA=")</f>
        <v>#REF!</v>
      </c>
      <c r="GL38" t="e">
        <f>AND(#REF!,"AAAAAF1O7cE=")</f>
        <v>#REF!</v>
      </c>
      <c r="GM38" t="e">
        <f>IF(#REF!,"AAAAAF1O7cI=",0)</f>
        <v>#REF!</v>
      </c>
      <c r="GN38" t="e">
        <f>AND(#REF!,"AAAAAF1O7cM=")</f>
        <v>#REF!</v>
      </c>
      <c r="GO38" t="e">
        <f>AND(#REF!,"AAAAAF1O7cQ=")</f>
        <v>#REF!</v>
      </c>
      <c r="GP38" t="e">
        <f>AND(#REF!,"AAAAAF1O7cU=")</f>
        <v>#REF!</v>
      </c>
      <c r="GQ38" t="e">
        <f>AND(#REF!,"AAAAAF1O7cY=")</f>
        <v>#REF!</v>
      </c>
      <c r="GR38" t="e">
        <f>AND(#REF!,"AAAAAF1O7cc=")</f>
        <v>#REF!</v>
      </c>
      <c r="GS38" t="e">
        <f>AND(#REF!,"AAAAAF1O7cg=")</f>
        <v>#REF!</v>
      </c>
      <c r="GT38" t="e">
        <f>AND(#REF!,"AAAAAF1O7ck=")</f>
        <v>#REF!</v>
      </c>
      <c r="GU38" t="e">
        <f>AND(#REF!,"AAAAAF1O7co=")</f>
        <v>#REF!</v>
      </c>
      <c r="GV38" t="e">
        <f>AND(#REF!,"AAAAAF1O7cs=")</f>
        <v>#REF!</v>
      </c>
      <c r="GW38" t="e">
        <f>AND(#REF!,"AAAAAF1O7cw=")</f>
        <v>#REF!</v>
      </c>
      <c r="GX38" t="e">
        <f>AND(#REF!,"AAAAAF1O7c0=")</f>
        <v>#REF!</v>
      </c>
      <c r="GY38" t="e">
        <f>AND(#REF!,"AAAAAF1O7c4=")</f>
        <v>#REF!</v>
      </c>
      <c r="GZ38" t="e">
        <f>AND(#REF!,"AAAAAF1O7c8=")</f>
        <v>#REF!</v>
      </c>
      <c r="HA38" t="e">
        <f>AND(#REF!,"AAAAAF1O7dA=")</f>
        <v>#REF!</v>
      </c>
      <c r="HB38" t="e">
        <f>AND(#REF!,"AAAAAF1O7dE=")</f>
        <v>#REF!</v>
      </c>
      <c r="HC38" t="e">
        <f>AND(#REF!,"AAAAAF1O7dI=")</f>
        <v>#REF!</v>
      </c>
      <c r="HD38" t="e">
        <f>AND(#REF!,"AAAAAF1O7dM=")</f>
        <v>#REF!</v>
      </c>
      <c r="HE38" t="e">
        <f>AND(#REF!,"AAAAAF1O7dQ=")</f>
        <v>#REF!</v>
      </c>
      <c r="HF38" t="e">
        <f>AND(#REF!,"AAAAAF1O7dU=")</f>
        <v>#REF!</v>
      </c>
      <c r="HG38" t="e">
        <f>AND(#REF!,"AAAAAF1O7dY=")</f>
        <v>#REF!</v>
      </c>
      <c r="HH38" t="e">
        <f>AND(#REF!,"AAAAAF1O7dc=")</f>
        <v>#REF!</v>
      </c>
      <c r="HI38" t="e">
        <f>IF(#REF!,"AAAAAF1O7dg=",0)</f>
        <v>#REF!</v>
      </c>
      <c r="HJ38" t="e">
        <f>AND(#REF!,"AAAAAF1O7dk=")</f>
        <v>#REF!</v>
      </c>
      <c r="HK38" t="e">
        <f>AND(#REF!,"AAAAAF1O7do=")</f>
        <v>#REF!</v>
      </c>
      <c r="HL38" t="e">
        <f>AND(#REF!,"AAAAAF1O7ds=")</f>
        <v>#REF!</v>
      </c>
      <c r="HM38" t="e">
        <f>AND(#REF!,"AAAAAF1O7dw=")</f>
        <v>#REF!</v>
      </c>
      <c r="HN38" t="e">
        <f>AND(#REF!,"AAAAAF1O7d0=")</f>
        <v>#REF!</v>
      </c>
      <c r="HO38" t="e">
        <f>AND(#REF!,"AAAAAF1O7d4=")</f>
        <v>#REF!</v>
      </c>
      <c r="HP38" t="e">
        <f>AND(#REF!,"AAAAAF1O7d8=")</f>
        <v>#REF!</v>
      </c>
      <c r="HQ38" t="e">
        <f>AND(#REF!,"AAAAAF1O7eA=")</f>
        <v>#REF!</v>
      </c>
      <c r="HR38" t="e">
        <f>AND(#REF!,"AAAAAF1O7eE=")</f>
        <v>#REF!</v>
      </c>
      <c r="HS38" t="e">
        <f>AND(#REF!,"AAAAAF1O7eI=")</f>
        <v>#REF!</v>
      </c>
      <c r="HT38" t="e">
        <f>AND(#REF!,"AAAAAF1O7eM=")</f>
        <v>#REF!</v>
      </c>
      <c r="HU38" t="e">
        <f>AND(#REF!,"AAAAAF1O7eQ=")</f>
        <v>#REF!</v>
      </c>
      <c r="HV38" t="e">
        <f>AND(#REF!,"AAAAAF1O7eU=")</f>
        <v>#REF!</v>
      </c>
      <c r="HW38" t="e">
        <f>AND(#REF!,"AAAAAF1O7eY=")</f>
        <v>#REF!</v>
      </c>
      <c r="HX38" t="e">
        <f>AND(#REF!,"AAAAAF1O7ec=")</f>
        <v>#REF!</v>
      </c>
      <c r="HY38" t="e">
        <f>AND(#REF!,"AAAAAF1O7eg=")</f>
        <v>#REF!</v>
      </c>
      <c r="HZ38" t="e">
        <f>AND(#REF!,"AAAAAF1O7ek=")</f>
        <v>#REF!</v>
      </c>
      <c r="IA38" t="e">
        <f>AND(#REF!,"AAAAAF1O7eo=")</f>
        <v>#REF!</v>
      </c>
      <c r="IB38" t="e">
        <f>AND(#REF!,"AAAAAF1O7es=")</f>
        <v>#REF!</v>
      </c>
      <c r="IC38" t="e">
        <f>AND(#REF!,"AAAAAF1O7ew=")</f>
        <v>#REF!</v>
      </c>
      <c r="ID38" t="e">
        <f>AND(#REF!,"AAAAAF1O7e0=")</f>
        <v>#REF!</v>
      </c>
      <c r="IE38" t="e">
        <f>IF(#REF!,"AAAAAF1O7e4=",0)</f>
        <v>#REF!</v>
      </c>
      <c r="IF38" t="e">
        <f>AND(#REF!,"AAAAAF1O7e8=")</f>
        <v>#REF!</v>
      </c>
      <c r="IG38" t="e">
        <f>AND(#REF!,"AAAAAF1O7fA=")</f>
        <v>#REF!</v>
      </c>
      <c r="IH38" t="e">
        <f>AND(#REF!,"AAAAAF1O7fE=")</f>
        <v>#REF!</v>
      </c>
      <c r="II38" t="e">
        <f>AND(#REF!,"AAAAAF1O7fI=")</f>
        <v>#REF!</v>
      </c>
      <c r="IJ38" t="e">
        <f>AND(#REF!,"AAAAAF1O7fM=")</f>
        <v>#REF!</v>
      </c>
      <c r="IK38" t="e">
        <f>AND(#REF!,"AAAAAF1O7fQ=")</f>
        <v>#REF!</v>
      </c>
      <c r="IL38" t="e">
        <f>AND(#REF!,"AAAAAF1O7fU=")</f>
        <v>#REF!</v>
      </c>
      <c r="IM38" t="e">
        <f>AND(#REF!,"AAAAAF1O7fY=")</f>
        <v>#REF!</v>
      </c>
      <c r="IN38" t="e">
        <f>AND(#REF!,"AAAAAF1O7fc=")</f>
        <v>#REF!</v>
      </c>
      <c r="IO38" t="e">
        <f>AND(#REF!,"AAAAAF1O7fg=")</f>
        <v>#REF!</v>
      </c>
      <c r="IP38" t="e">
        <f>AND(#REF!,"AAAAAF1O7fk=")</f>
        <v>#REF!</v>
      </c>
      <c r="IQ38" t="e">
        <f>AND(#REF!,"AAAAAF1O7fo=")</f>
        <v>#REF!</v>
      </c>
      <c r="IR38" t="e">
        <f>AND(#REF!,"AAAAAF1O7fs=")</f>
        <v>#REF!</v>
      </c>
      <c r="IS38" t="e">
        <f>AND(#REF!,"AAAAAF1O7fw=")</f>
        <v>#REF!</v>
      </c>
      <c r="IT38" t="e">
        <f>AND(#REF!,"AAAAAF1O7f0=")</f>
        <v>#REF!</v>
      </c>
      <c r="IU38" t="e">
        <f>AND(#REF!,"AAAAAF1O7f4=")</f>
        <v>#REF!</v>
      </c>
      <c r="IV38" t="e">
        <f>AND(#REF!,"AAAAAF1O7f8=")</f>
        <v>#REF!</v>
      </c>
    </row>
    <row r="39" spans="1:256">
      <c r="A39" t="e">
        <f>AND(#REF!,"AAAAAGRZtgA=")</f>
        <v>#REF!</v>
      </c>
      <c r="B39" t="e">
        <f>AND(#REF!,"AAAAAGRZtgE=")</f>
        <v>#REF!</v>
      </c>
      <c r="C39" t="e">
        <f>AND(#REF!,"AAAAAGRZtgI=")</f>
        <v>#REF!</v>
      </c>
      <c r="D39" t="e">
        <f>AND(#REF!,"AAAAAGRZtgM=")</f>
        <v>#REF!</v>
      </c>
      <c r="E39" t="e">
        <f>IF(#REF!,"AAAAAGRZtgQ=",0)</f>
        <v>#REF!</v>
      </c>
      <c r="F39" t="e">
        <f>AND(#REF!,"AAAAAGRZtgU=")</f>
        <v>#REF!</v>
      </c>
      <c r="G39" t="e">
        <f>AND(#REF!,"AAAAAGRZtgY=")</f>
        <v>#REF!</v>
      </c>
      <c r="H39" t="e">
        <f>AND(#REF!,"AAAAAGRZtgc=")</f>
        <v>#REF!</v>
      </c>
      <c r="I39" t="e">
        <f>AND(#REF!,"AAAAAGRZtgg=")</f>
        <v>#REF!</v>
      </c>
      <c r="J39" t="e">
        <f>AND(#REF!,"AAAAAGRZtgk=")</f>
        <v>#REF!</v>
      </c>
      <c r="K39" t="e">
        <f>AND(#REF!,"AAAAAGRZtgo=")</f>
        <v>#REF!</v>
      </c>
      <c r="L39" t="e">
        <f>AND(#REF!,"AAAAAGRZtgs=")</f>
        <v>#REF!</v>
      </c>
      <c r="M39" t="e">
        <f>AND(#REF!,"AAAAAGRZtgw=")</f>
        <v>#REF!</v>
      </c>
      <c r="N39" t="e">
        <f>AND(#REF!,"AAAAAGRZtg0=")</f>
        <v>#REF!</v>
      </c>
      <c r="O39" t="e">
        <f>AND(#REF!,"AAAAAGRZtg4=")</f>
        <v>#REF!</v>
      </c>
      <c r="P39" t="e">
        <f>AND(#REF!,"AAAAAGRZtg8=")</f>
        <v>#REF!</v>
      </c>
      <c r="Q39" t="e">
        <f>AND(#REF!,"AAAAAGRZthA=")</f>
        <v>#REF!</v>
      </c>
      <c r="R39" t="e">
        <f>AND(#REF!,"AAAAAGRZthE=")</f>
        <v>#REF!</v>
      </c>
      <c r="S39" t="e">
        <f>AND(#REF!,"AAAAAGRZthI=")</f>
        <v>#REF!</v>
      </c>
      <c r="T39" t="e">
        <f>AND(#REF!,"AAAAAGRZthM=")</f>
        <v>#REF!</v>
      </c>
      <c r="U39" t="e">
        <f>AND(#REF!,"AAAAAGRZthQ=")</f>
        <v>#REF!</v>
      </c>
      <c r="V39" t="e">
        <f>AND(#REF!,"AAAAAGRZthU=")</f>
        <v>#REF!</v>
      </c>
      <c r="W39" t="e">
        <f>AND(#REF!,"AAAAAGRZthY=")</f>
        <v>#REF!</v>
      </c>
      <c r="X39" t="e">
        <f>AND(#REF!,"AAAAAGRZthc=")</f>
        <v>#REF!</v>
      </c>
      <c r="Y39" t="e">
        <f>AND(#REF!,"AAAAAGRZthg=")</f>
        <v>#REF!</v>
      </c>
      <c r="Z39" t="e">
        <f>AND(#REF!,"AAAAAGRZthk=")</f>
        <v>#REF!</v>
      </c>
      <c r="AA39" t="e">
        <f>IF(#REF!,"AAAAAGRZtho=",0)</f>
        <v>#REF!</v>
      </c>
      <c r="AB39" t="e">
        <f>AND(#REF!,"AAAAAGRZths=")</f>
        <v>#REF!</v>
      </c>
      <c r="AC39" t="e">
        <f>AND(#REF!,"AAAAAGRZthw=")</f>
        <v>#REF!</v>
      </c>
      <c r="AD39" t="e">
        <f>AND(#REF!,"AAAAAGRZth0=")</f>
        <v>#REF!</v>
      </c>
      <c r="AE39" t="e">
        <f>AND(#REF!,"AAAAAGRZth4=")</f>
        <v>#REF!</v>
      </c>
      <c r="AF39" t="e">
        <f>AND(#REF!,"AAAAAGRZth8=")</f>
        <v>#REF!</v>
      </c>
      <c r="AG39" t="e">
        <f>AND(#REF!,"AAAAAGRZtiA=")</f>
        <v>#REF!</v>
      </c>
      <c r="AH39" t="e">
        <f>AND(#REF!,"AAAAAGRZtiE=")</f>
        <v>#REF!</v>
      </c>
      <c r="AI39" t="e">
        <f>AND(#REF!,"AAAAAGRZtiI=")</f>
        <v>#REF!</v>
      </c>
      <c r="AJ39" t="e">
        <f>AND(#REF!,"AAAAAGRZtiM=")</f>
        <v>#REF!</v>
      </c>
      <c r="AK39" t="e">
        <f>AND(#REF!,"AAAAAGRZtiQ=")</f>
        <v>#REF!</v>
      </c>
      <c r="AL39" t="e">
        <f>AND(#REF!,"AAAAAGRZtiU=")</f>
        <v>#REF!</v>
      </c>
      <c r="AM39" t="e">
        <f>AND(#REF!,"AAAAAGRZtiY=")</f>
        <v>#REF!</v>
      </c>
      <c r="AN39" t="e">
        <f>AND(#REF!,"AAAAAGRZtic=")</f>
        <v>#REF!</v>
      </c>
      <c r="AO39" t="e">
        <f>AND(#REF!,"AAAAAGRZtig=")</f>
        <v>#REF!</v>
      </c>
      <c r="AP39" t="e">
        <f>AND(#REF!,"AAAAAGRZtik=")</f>
        <v>#REF!</v>
      </c>
      <c r="AQ39" t="e">
        <f>AND(#REF!,"AAAAAGRZtio=")</f>
        <v>#REF!</v>
      </c>
      <c r="AR39" t="e">
        <f>AND(#REF!,"AAAAAGRZtis=")</f>
        <v>#REF!</v>
      </c>
      <c r="AS39" t="e">
        <f>AND(#REF!,"AAAAAGRZtiw=")</f>
        <v>#REF!</v>
      </c>
      <c r="AT39" t="e">
        <f>AND(#REF!,"AAAAAGRZti0=")</f>
        <v>#REF!</v>
      </c>
      <c r="AU39" t="e">
        <f>AND(#REF!,"AAAAAGRZti4=")</f>
        <v>#REF!</v>
      </c>
      <c r="AV39" t="e">
        <f>AND(#REF!,"AAAAAGRZti8=")</f>
        <v>#REF!</v>
      </c>
      <c r="AW39" t="e">
        <f>IF(#REF!,"AAAAAGRZtjA=",0)</f>
        <v>#REF!</v>
      </c>
      <c r="AX39" t="e">
        <f>AND(#REF!,"AAAAAGRZtjE=")</f>
        <v>#REF!</v>
      </c>
      <c r="AY39" t="e">
        <f>AND(#REF!,"AAAAAGRZtjI=")</f>
        <v>#REF!</v>
      </c>
      <c r="AZ39" t="e">
        <f>AND(#REF!,"AAAAAGRZtjM=")</f>
        <v>#REF!</v>
      </c>
      <c r="BA39" t="e">
        <f>AND(#REF!,"AAAAAGRZtjQ=")</f>
        <v>#REF!</v>
      </c>
      <c r="BB39" t="e">
        <f>AND(#REF!,"AAAAAGRZtjU=")</f>
        <v>#REF!</v>
      </c>
      <c r="BC39" t="e">
        <f>AND(#REF!,"AAAAAGRZtjY=")</f>
        <v>#REF!</v>
      </c>
      <c r="BD39" t="e">
        <f>AND(#REF!,"AAAAAGRZtjc=")</f>
        <v>#REF!</v>
      </c>
      <c r="BE39" t="e">
        <f>AND(#REF!,"AAAAAGRZtjg=")</f>
        <v>#REF!</v>
      </c>
      <c r="BF39" t="e">
        <f>AND(#REF!,"AAAAAGRZtjk=")</f>
        <v>#REF!</v>
      </c>
      <c r="BG39" t="e">
        <f>AND(#REF!,"AAAAAGRZtjo=")</f>
        <v>#REF!</v>
      </c>
      <c r="BH39" t="e">
        <f>AND(#REF!,"AAAAAGRZtjs=")</f>
        <v>#REF!</v>
      </c>
      <c r="BI39" t="e">
        <f>AND(#REF!,"AAAAAGRZtjw=")</f>
        <v>#REF!</v>
      </c>
      <c r="BJ39" t="e">
        <f>AND(#REF!,"AAAAAGRZtj0=")</f>
        <v>#REF!</v>
      </c>
      <c r="BK39" t="e">
        <f>AND(#REF!,"AAAAAGRZtj4=")</f>
        <v>#REF!</v>
      </c>
      <c r="BL39" t="e">
        <f>AND(#REF!,"AAAAAGRZtj8=")</f>
        <v>#REF!</v>
      </c>
      <c r="BM39" t="e">
        <f>AND(#REF!,"AAAAAGRZtkA=")</f>
        <v>#REF!</v>
      </c>
      <c r="BN39" t="e">
        <f>AND(#REF!,"AAAAAGRZtkE=")</f>
        <v>#REF!</v>
      </c>
      <c r="BO39" t="e">
        <f>AND(#REF!,"AAAAAGRZtkI=")</f>
        <v>#REF!</v>
      </c>
      <c r="BP39" t="e">
        <f>AND(#REF!,"AAAAAGRZtkM=")</f>
        <v>#REF!</v>
      </c>
      <c r="BQ39" t="e">
        <f>AND(#REF!,"AAAAAGRZtkQ=")</f>
        <v>#REF!</v>
      </c>
      <c r="BR39" t="e">
        <f>AND(#REF!,"AAAAAGRZtkU=")</f>
        <v>#REF!</v>
      </c>
      <c r="BS39" t="e">
        <f>IF(#REF!,"AAAAAGRZtkY=",0)</f>
        <v>#REF!</v>
      </c>
      <c r="BT39" t="e">
        <f>AND(#REF!,"AAAAAGRZtkc=")</f>
        <v>#REF!</v>
      </c>
      <c r="BU39" t="e">
        <f>AND(#REF!,"AAAAAGRZtkg=")</f>
        <v>#REF!</v>
      </c>
      <c r="BV39" t="e">
        <f>AND(#REF!,"AAAAAGRZtkk=")</f>
        <v>#REF!</v>
      </c>
      <c r="BW39" t="e">
        <f>AND(#REF!,"AAAAAGRZtko=")</f>
        <v>#REF!</v>
      </c>
      <c r="BX39" t="e">
        <f>AND(#REF!,"AAAAAGRZtks=")</f>
        <v>#REF!</v>
      </c>
      <c r="BY39" t="e">
        <f>AND(#REF!,"AAAAAGRZtkw=")</f>
        <v>#REF!</v>
      </c>
      <c r="BZ39" t="e">
        <f>AND(#REF!,"AAAAAGRZtk0=")</f>
        <v>#REF!</v>
      </c>
      <c r="CA39" t="e">
        <f>AND(#REF!,"AAAAAGRZtk4=")</f>
        <v>#REF!</v>
      </c>
      <c r="CB39" t="e">
        <f>AND(#REF!,"AAAAAGRZtk8=")</f>
        <v>#REF!</v>
      </c>
      <c r="CC39" t="e">
        <f>AND(#REF!,"AAAAAGRZtlA=")</f>
        <v>#REF!</v>
      </c>
      <c r="CD39" t="e">
        <f>AND(#REF!,"AAAAAGRZtlE=")</f>
        <v>#REF!</v>
      </c>
      <c r="CE39" t="e">
        <f>AND(#REF!,"AAAAAGRZtlI=")</f>
        <v>#REF!</v>
      </c>
      <c r="CF39" t="e">
        <f>AND(#REF!,"AAAAAGRZtlM=")</f>
        <v>#REF!</v>
      </c>
      <c r="CG39" t="e">
        <f>AND(#REF!,"AAAAAGRZtlQ=")</f>
        <v>#REF!</v>
      </c>
      <c r="CH39" t="e">
        <f>AND(#REF!,"AAAAAGRZtlU=")</f>
        <v>#REF!</v>
      </c>
      <c r="CI39" t="e">
        <f>AND(#REF!,"AAAAAGRZtlY=")</f>
        <v>#REF!</v>
      </c>
      <c r="CJ39" t="e">
        <f>AND(#REF!,"AAAAAGRZtlc=")</f>
        <v>#REF!</v>
      </c>
      <c r="CK39" t="e">
        <f>AND(#REF!,"AAAAAGRZtlg=")</f>
        <v>#REF!</v>
      </c>
      <c r="CL39" t="e">
        <f>AND(#REF!,"AAAAAGRZtlk=")</f>
        <v>#REF!</v>
      </c>
      <c r="CM39" t="e">
        <f>AND(#REF!,"AAAAAGRZtlo=")</f>
        <v>#REF!</v>
      </c>
      <c r="CN39" t="e">
        <f>AND(#REF!,"AAAAAGRZtls=")</f>
        <v>#REF!</v>
      </c>
      <c r="CO39" t="e">
        <f>IF(#REF!,"AAAAAGRZtlw=",0)</f>
        <v>#REF!</v>
      </c>
      <c r="CP39" t="e">
        <f>AND(#REF!,"AAAAAGRZtl0=")</f>
        <v>#REF!</v>
      </c>
      <c r="CQ39" t="e">
        <f>AND(#REF!,"AAAAAGRZtl4=")</f>
        <v>#REF!</v>
      </c>
      <c r="CR39" t="e">
        <f>AND(#REF!,"AAAAAGRZtl8=")</f>
        <v>#REF!</v>
      </c>
      <c r="CS39" t="e">
        <f>AND(#REF!,"AAAAAGRZtmA=")</f>
        <v>#REF!</v>
      </c>
      <c r="CT39" t="e">
        <f>AND(#REF!,"AAAAAGRZtmE=")</f>
        <v>#REF!</v>
      </c>
      <c r="CU39" t="e">
        <f>AND(#REF!,"AAAAAGRZtmI=")</f>
        <v>#REF!</v>
      </c>
      <c r="CV39" t="e">
        <f>AND(#REF!,"AAAAAGRZtmM=")</f>
        <v>#REF!</v>
      </c>
      <c r="CW39" t="e">
        <f>AND(#REF!,"AAAAAGRZtmQ=")</f>
        <v>#REF!</v>
      </c>
      <c r="CX39" t="e">
        <f>AND(#REF!,"AAAAAGRZtmU=")</f>
        <v>#REF!</v>
      </c>
      <c r="CY39" t="e">
        <f>AND(#REF!,"AAAAAGRZtmY=")</f>
        <v>#REF!</v>
      </c>
      <c r="CZ39" t="e">
        <f>AND(#REF!,"AAAAAGRZtmc=")</f>
        <v>#REF!</v>
      </c>
      <c r="DA39" t="e">
        <f>AND(#REF!,"AAAAAGRZtmg=")</f>
        <v>#REF!</v>
      </c>
      <c r="DB39" t="e">
        <f>AND(#REF!,"AAAAAGRZtmk=")</f>
        <v>#REF!</v>
      </c>
      <c r="DC39" t="e">
        <f>AND(#REF!,"AAAAAGRZtmo=")</f>
        <v>#REF!</v>
      </c>
      <c r="DD39" t="e">
        <f>AND(#REF!,"AAAAAGRZtms=")</f>
        <v>#REF!</v>
      </c>
      <c r="DE39" t="e">
        <f>AND(#REF!,"AAAAAGRZtmw=")</f>
        <v>#REF!</v>
      </c>
      <c r="DF39" t="e">
        <f>AND(#REF!,"AAAAAGRZtm0=")</f>
        <v>#REF!</v>
      </c>
      <c r="DG39" t="e">
        <f>AND(#REF!,"AAAAAGRZtm4=")</f>
        <v>#REF!</v>
      </c>
      <c r="DH39" t="e">
        <f>AND(#REF!,"AAAAAGRZtm8=")</f>
        <v>#REF!</v>
      </c>
      <c r="DI39" t="e">
        <f>AND(#REF!,"AAAAAGRZtnA=")</f>
        <v>#REF!</v>
      </c>
      <c r="DJ39" t="e">
        <f>AND(#REF!,"AAAAAGRZtnE=")</f>
        <v>#REF!</v>
      </c>
      <c r="DK39" t="e">
        <f>IF(#REF!,"AAAAAGRZtnI=",0)</f>
        <v>#REF!</v>
      </c>
      <c r="DL39" t="e">
        <f>AND(#REF!,"AAAAAGRZtnM=")</f>
        <v>#REF!</v>
      </c>
      <c r="DM39" t="e">
        <f>AND(#REF!,"AAAAAGRZtnQ=")</f>
        <v>#REF!</v>
      </c>
      <c r="DN39" t="e">
        <f>AND(#REF!,"AAAAAGRZtnU=")</f>
        <v>#REF!</v>
      </c>
      <c r="DO39" t="e">
        <f>AND(#REF!,"AAAAAGRZtnY=")</f>
        <v>#REF!</v>
      </c>
      <c r="DP39" t="e">
        <f>AND(#REF!,"AAAAAGRZtnc=")</f>
        <v>#REF!</v>
      </c>
      <c r="DQ39" t="e">
        <f>AND(#REF!,"AAAAAGRZtng=")</f>
        <v>#REF!</v>
      </c>
      <c r="DR39" t="e">
        <f>AND(#REF!,"AAAAAGRZtnk=")</f>
        <v>#REF!</v>
      </c>
      <c r="DS39" t="e">
        <f>AND(#REF!,"AAAAAGRZtno=")</f>
        <v>#REF!</v>
      </c>
      <c r="DT39" t="e">
        <f>AND(#REF!,"AAAAAGRZtns=")</f>
        <v>#REF!</v>
      </c>
      <c r="DU39" t="e">
        <f>AND(#REF!,"AAAAAGRZtnw=")</f>
        <v>#REF!</v>
      </c>
      <c r="DV39" t="e">
        <f>AND(#REF!,"AAAAAGRZtn0=")</f>
        <v>#REF!</v>
      </c>
      <c r="DW39" t="e">
        <f>AND(#REF!,"AAAAAGRZtn4=")</f>
        <v>#REF!</v>
      </c>
      <c r="DX39" t="e">
        <f>AND(#REF!,"AAAAAGRZtn8=")</f>
        <v>#REF!</v>
      </c>
      <c r="DY39" t="e">
        <f>AND(#REF!,"AAAAAGRZtoA=")</f>
        <v>#REF!</v>
      </c>
      <c r="DZ39" t="e">
        <f>AND(#REF!,"AAAAAGRZtoE=")</f>
        <v>#REF!</v>
      </c>
      <c r="EA39" t="e">
        <f>AND(#REF!,"AAAAAGRZtoI=")</f>
        <v>#REF!</v>
      </c>
      <c r="EB39" t="e">
        <f>AND(#REF!,"AAAAAGRZtoM=")</f>
        <v>#REF!</v>
      </c>
      <c r="EC39" t="e">
        <f>AND(#REF!,"AAAAAGRZtoQ=")</f>
        <v>#REF!</v>
      </c>
      <c r="ED39" t="e">
        <f>AND(#REF!,"AAAAAGRZtoU=")</f>
        <v>#REF!</v>
      </c>
      <c r="EE39" t="e">
        <f>AND(#REF!,"AAAAAGRZtoY=")</f>
        <v>#REF!</v>
      </c>
      <c r="EF39" t="e">
        <f>AND(#REF!,"AAAAAGRZtoc=")</f>
        <v>#REF!</v>
      </c>
      <c r="EG39" t="e">
        <f>IF(#REF!,"AAAAAGRZtog=",0)</f>
        <v>#REF!</v>
      </c>
      <c r="EH39" t="e">
        <f>AND(#REF!,"AAAAAGRZtok=")</f>
        <v>#REF!</v>
      </c>
      <c r="EI39" t="e">
        <f>AND(#REF!,"AAAAAGRZtoo=")</f>
        <v>#REF!</v>
      </c>
      <c r="EJ39" t="e">
        <f>AND(#REF!,"AAAAAGRZtos=")</f>
        <v>#REF!</v>
      </c>
      <c r="EK39" t="e">
        <f>AND(#REF!,"AAAAAGRZtow=")</f>
        <v>#REF!</v>
      </c>
      <c r="EL39" t="e">
        <f>AND(#REF!,"AAAAAGRZto0=")</f>
        <v>#REF!</v>
      </c>
      <c r="EM39" t="e">
        <f>AND(#REF!,"AAAAAGRZto4=")</f>
        <v>#REF!</v>
      </c>
      <c r="EN39" t="e">
        <f>AND(#REF!,"AAAAAGRZto8=")</f>
        <v>#REF!</v>
      </c>
      <c r="EO39" t="e">
        <f>AND(#REF!,"AAAAAGRZtpA=")</f>
        <v>#REF!</v>
      </c>
      <c r="EP39" t="e">
        <f>AND(#REF!,"AAAAAGRZtpE=")</f>
        <v>#REF!</v>
      </c>
      <c r="EQ39" t="e">
        <f>AND(#REF!,"AAAAAGRZtpI=")</f>
        <v>#REF!</v>
      </c>
      <c r="ER39" t="e">
        <f>AND(#REF!,"AAAAAGRZtpM=")</f>
        <v>#REF!</v>
      </c>
      <c r="ES39" t="e">
        <f>AND(#REF!,"AAAAAGRZtpQ=")</f>
        <v>#REF!</v>
      </c>
      <c r="ET39" t="e">
        <f>AND(#REF!,"AAAAAGRZtpU=")</f>
        <v>#REF!</v>
      </c>
      <c r="EU39" t="e">
        <f>AND(#REF!,"AAAAAGRZtpY=")</f>
        <v>#REF!</v>
      </c>
      <c r="EV39" t="e">
        <f>AND(#REF!,"AAAAAGRZtpc=")</f>
        <v>#REF!</v>
      </c>
      <c r="EW39" t="e">
        <f>AND(#REF!,"AAAAAGRZtpg=")</f>
        <v>#REF!</v>
      </c>
      <c r="EX39" t="e">
        <f>AND(#REF!,"AAAAAGRZtpk=")</f>
        <v>#REF!</v>
      </c>
      <c r="EY39" t="e">
        <f>AND(#REF!,"AAAAAGRZtpo=")</f>
        <v>#REF!</v>
      </c>
      <c r="EZ39" t="e">
        <f>AND(#REF!,"AAAAAGRZtps=")</f>
        <v>#REF!</v>
      </c>
      <c r="FA39" t="e">
        <f>AND(#REF!,"AAAAAGRZtpw=")</f>
        <v>#REF!</v>
      </c>
      <c r="FB39" t="e">
        <f>AND(#REF!,"AAAAAGRZtp0=")</f>
        <v>#REF!</v>
      </c>
      <c r="FC39" t="e">
        <f>IF(#REF!,"AAAAAGRZtp4=",0)</f>
        <v>#REF!</v>
      </c>
      <c r="FD39" t="e">
        <f>AND(#REF!,"AAAAAGRZtp8=")</f>
        <v>#REF!</v>
      </c>
      <c r="FE39" t="e">
        <f>AND(#REF!,"AAAAAGRZtqA=")</f>
        <v>#REF!</v>
      </c>
      <c r="FF39" t="e">
        <f>AND(#REF!,"AAAAAGRZtqE=")</f>
        <v>#REF!</v>
      </c>
      <c r="FG39" t="e">
        <f>AND(#REF!,"AAAAAGRZtqI=")</f>
        <v>#REF!</v>
      </c>
      <c r="FH39" t="e">
        <f>AND(#REF!,"AAAAAGRZtqM=")</f>
        <v>#REF!</v>
      </c>
      <c r="FI39" t="e">
        <f>AND(#REF!,"AAAAAGRZtqQ=")</f>
        <v>#REF!</v>
      </c>
      <c r="FJ39" t="e">
        <f>AND(#REF!,"AAAAAGRZtqU=")</f>
        <v>#REF!</v>
      </c>
      <c r="FK39" t="e">
        <f>AND(#REF!,"AAAAAGRZtqY=")</f>
        <v>#REF!</v>
      </c>
      <c r="FL39" t="e">
        <f>AND(#REF!,"AAAAAGRZtqc=")</f>
        <v>#REF!</v>
      </c>
      <c r="FM39" t="e">
        <f>AND(#REF!,"AAAAAGRZtqg=")</f>
        <v>#REF!</v>
      </c>
      <c r="FN39" t="e">
        <f>AND(#REF!,"AAAAAGRZtqk=")</f>
        <v>#REF!</v>
      </c>
      <c r="FO39" t="e">
        <f>AND(#REF!,"AAAAAGRZtqo=")</f>
        <v>#REF!</v>
      </c>
      <c r="FP39" t="e">
        <f>AND(#REF!,"AAAAAGRZtqs=")</f>
        <v>#REF!</v>
      </c>
      <c r="FQ39" t="e">
        <f>AND(#REF!,"AAAAAGRZtqw=")</f>
        <v>#REF!</v>
      </c>
      <c r="FR39" t="e">
        <f>AND(#REF!,"AAAAAGRZtq0=")</f>
        <v>#REF!</v>
      </c>
      <c r="FS39" t="e">
        <f>AND(#REF!,"AAAAAGRZtq4=")</f>
        <v>#REF!</v>
      </c>
      <c r="FT39" t="e">
        <f>AND(#REF!,"AAAAAGRZtq8=")</f>
        <v>#REF!</v>
      </c>
      <c r="FU39" t="e">
        <f>AND(#REF!,"AAAAAGRZtrA=")</f>
        <v>#REF!</v>
      </c>
      <c r="FV39" t="e">
        <f>AND(#REF!,"AAAAAGRZtrE=")</f>
        <v>#REF!</v>
      </c>
      <c r="FW39" t="e">
        <f>AND(#REF!,"AAAAAGRZtrI=")</f>
        <v>#REF!</v>
      </c>
      <c r="FX39" t="e">
        <f>AND(#REF!,"AAAAAGRZtrM=")</f>
        <v>#REF!</v>
      </c>
      <c r="FY39" t="e">
        <f>IF(#REF!,"AAAAAGRZtrQ=",0)</f>
        <v>#REF!</v>
      </c>
      <c r="FZ39" t="e">
        <f>AND(#REF!,"AAAAAGRZtrU=")</f>
        <v>#REF!</v>
      </c>
      <c r="GA39" t="e">
        <f>AND(#REF!,"AAAAAGRZtrY=")</f>
        <v>#REF!</v>
      </c>
      <c r="GB39" t="e">
        <f>AND(#REF!,"AAAAAGRZtrc=")</f>
        <v>#REF!</v>
      </c>
      <c r="GC39" t="e">
        <f>AND(#REF!,"AAAAAGRZtrg=")</f>
        <v>#REF!</v>
      </c>
      <c r="GD39" t="e">
        <f>AND(#REF!,"AAAAAGRZtrk=")</f>
        <v>#REF!</v>
      </c>
      <c r="GE39" t="e">
        <f>AND(#REF!,"AAAAAGRZtro=")</f>
        <v>#REF!</v>
      </c>
      <c r="GF39" t="e">
        <f>AND(#REF!,"AAAAAGRZtrs=")</f>
        <v>#REF!</v>
      </c>
      <c r="GG39" t="e">
        <f>AND(#REF!,"AAAAAGRZtrw=")</f>
        <v>#REF!</v>
      </c>
      <c r="GH39" t="e">
        <f>AND(#REF!,"AAAAAGRZtr0=")</f>
        <v>#REF!</v>
      </c>
      <c r="GI39" t="e">
        <f>AND(#REF!,"AAAAAGRZtr4=")</f>
        <v>#REF!</v>
      </c>
      <c r="GJ39" t="e">
        <f>AND(#REF!,"AAAAAGRZtr8=")</f>
        <v>#REF!</v>
      </c>
      <c r="GK39" t="e">
        <f>AND(#REF!,"AAAAAGRZtsA=")</f>
        <v>#REF!</v>
      </c>
      <c r="GL39" t="e">
        <f>AND(#REF!,"AAAAAGRZtsE=")</f>
        <v>#REF!</v>
      </c>
      <c r="GM39" t="e">
        <f>AND(#REF!,"AAAAAGRZtsI=")</f>
        <v>#REF!</v>
      </c>
      <c r="GN39" t="e">
        <f>AND(#REF!,"AAAAAGRZtsM=")</f>
        <v>#REF!</v>
      </c>
      <c r="GO39" t="e">
        <f>AND(#REF!,"AAAAAGRZtsQ=")</f>
        <v>#REF!</v>
      </c>
      <c r="GP39" t="e">
        <f>AND(#REF!,"AAAAAGRZtsU=")</f>
        <v>#REF!</v>
      </c>
      <c r="GQ39" t="e">
        <f>AND(#REF!,"AAAAAGRZtsY=")</f>
        <v>#REF!</v>
      </c>
      <c r="GR39" t="e">
        <f>AND(#REF!,"AAAAAGRZtsc=")</f>
        <v>#REF!</v>
      </c>
      <c r="GS39" t="e">
        <f>AND(#REF!,"AAAAAGRZtsg=")</f>
        <v>#REF!</v>
      </c>
      <c r="GT39" t="e">
        <f>AND(#REF!,"AAAAAGRZtsk=")</f>
        <v>#REF!</v>
      </c>
      <c r="GU39" t="e">
        <f>IF(#REF!,"AAAAAGRZtso=",0)</f>
        <v>#REF!</v>
      </c>
      <c r="GV39" t="e">
        <f>AND(#REF!,"AAAAAGRZtss=")</f>
        <v>#REF!</v>
      </c>
      <c r="GW39" t="e">
        <f>AND(#REF!,"AAAAAGRZtsw=")</f>
        <v>#REF!</v>
      </c>
      <c r="GX39" t="e">
        <f>AND(#REF!,"AAAAAGRZts0=")</f>
        <v>#REF!</v>
      </c>
      <c r="GY39" t="e">
        <f>AND(#REF!,"AAAAAGRZts4=")</f>
        <v>#REF!</v>
      </c>
      <c r="GZ39" t="e">
        <f>AND(#REF!,"AAAAAGRZts8=")</f>
        <v>#REF!</v>
      </c>
      <c r="HA39" t="e">
        <f>AND(#REF!,"AAAAAGRZttA=")</f>
        <v>#REF!</v>
      </c>
      <c r="HB39" t="e">
        <f>AND(#REF!,"AAAAAGRZttE=")</f>
        <v>#REF!</v>
      </c>
      <c r="HC39" t="e">
        <f>AND(#REF!,"AAAAAGRZttI=")</f>
        <v>#REF!</v>
      </c>
      <c r="HD39" t="e">
        <f>AND(#REF!,"AAAAAGRZttM=")</f>
        <v>#REF!</v>
      </c>
      <c r="HE39" t="e">
        <f>AND(#REF!,"AAAAAGRZttQ=")</f>
        <v>#REF!</v>
      </c>
      <c r="HF39" t="e">
        <f>AND(#REF!,"AAAAAGRZttU=")</f>
        <v>#REF!</v>
      </c>
      <c r="HG39" t="e">
        <f>AND(#REF!,"AAAAAGRZttY=")</f>
        <v>#REF!</v>
      </c>
      <c r="HH39" t="e">
        <f>AND(#REF!,"AAAAAGRZttc=")</f>
        <v>#REF!</v>
      </c>
      <c r="HI39" t="e">
        <f>AND(#REF!,"AAAAAGRZttg=")</f>
        <v>#REF!</v>
      </c>
      <c r="HJ39" t="e">
        <f>AND(#REF!,"AAAAAGRZttk=")</f>
        <v>#REF!</v>
      </c>
      <c r="HK39" t="e">
        <f>AND(#REF!,"AAAAAGRZtto=")</f>
        <v>#REF!</v>
      </c>
      <c r="HL39" t="e">
        <f>AND(#REF!,"AAAAAGRZtts=")</f>
        <v>#REF!</v>
      </c>
      <c r="HM39" t="e">
        <f>AND(#REF!,"AAAAAGRZttw=")</f>
        <v>#REF!</v>
      </c>
      <c r="HN39" t="e">
        <f>AND(#REF!,"AAAAAGRZtt0=")</f>
        <v>#REF!</v>
      </c>
      <c r="HO39" t="e">
        <f>AND(#REF!,"AAAAAGRZtt4=")</f>
        <v>#REF!</v>
      </c>
      <c r="HP39" t="e">
        <f>AND(#REF!,"AAAAAGRZtt8=")</f>
        <v>#REF!</v>
      </c>
      <c r="HQ39" t="e">
        <f>IF(#REF!,"AAAAAGRZtuA=",0)</f>
        <v>#REF!</v>
      </c>
      <c r="HR39" t="e">
        <f>AND(#REF!,"AAAAAGRZtuE=")</f>
        <v>#REF!</v>
      </c>
      <c r="HS39" t="e">
        <f>AND(#REF!,"AAAAAGRZtuI=")</f>
        <v>#REF!</v>
      </c>
      <c r="HT39" t="e">
        <f>AND(#REF!,"AAAAAGRZtuM=")</f>
        <v>#REF!</v>
      </c>
      <c r="HU39" t="e">
        <f>AND(#REF!,"AAAAAGRZtuQ=")</f>
        <v>#REF!</v>
      </c>
      <c r="HV39" t="e">
        <f>AND(#REF!,"AAAAAGRZtuU=")</f>
        <v>#REF!</v>
      </c>
      <c r="HW39" t="e">
        <f>AND(#REF!,"AAAAAGRZtuY=")</f>
        <v>#REF!</v>
      </c>
      <c r="HX39" t="e">
        <f>AND(#REF!,"AAAAAGRZtuc=")</f>
        <v>#REF!</v>
      </c>
      <c r="HY39" t="e">
        <f>AND(#REF!,"AAAAAGRZtug=")</f>
        <v>#REF!</v>
      </c>
      <c r="HZ39" t="e">
        <f>AND(#REF!,"AAAAAGRZtuk=")</f>
        <v>#REF!</v>
      </c>
      <c r="IA39" t="e">
        <f>AND(#REF!,"AAAAAGRZtuo=")</f>
        <v>#REF!</v>
      </c>
      <c r="IB39" t="e">
        <f>AND(#REF!,"AAAAAGRZtus=")</f>
        <v>#REF!</v>
      </c>
      <c r="IC39" t="e">
        <f>AND(#REF!,"AAAAAGRZtuw=")</f>
        <v>#REF!</v>
      </c>
      <c r="ID39" t="e">
        <f>AND(#REF!,"AAAAAGRZtu0=")</f>
        <v>#REF!</v>
      </c>
      <c r="IE39" t="e">
        <f>AND(#REF!,"AAAAAGRZtu4=")</f>
        <v>#REF!</v>
      </c>
      <c r="IF39" t="e">
        <f>AND(#REF!,"AAAAAGRZtu8=")</f>
        <v>#REF!</v>
      </c>
      <c r="IG39" t="e">
        <f>AND(#REF!,"AAAAAGRZtvA=")</f>
        <v>#REF!</v>
      </c>
      <c r="IH39" t="e">
        <f>AND(#REF!,"AAAAAGRZtvE=")</f>
        <v>#REF!</v>
      </c>
      <c r="II39" t="e">
        <f>AND(#REF!,"AAAAAGRZtvI=")</f>
        <v>#REF!</v>
      </c>
      <c r="IJ39" t="e">
        <f>AND(#REF!,"AAAAAGRZtvM=")</f>
        <v>#REF!</v>
      </c>
      <c r="IK39" t="e">
        <f>AND(#REF!,"AAAAAGRZtvQ=")</f>
        <v>#REF!</v>
      </c>
      <c r="IL39" t="e">
        <f>AND(#REF!,"AAAAAGRZtvU=")</f>
        <v>#REF!</v>
      </c>
      <c r="IM39" t="e">
        <f>IF(#REF!,"AAAAAGRZtvY=",0)</f>
        <v>#REF!</v>
      </c>
      <c r="IN39" t="e">
        <f>AND(#REF!,"AAAAAGRZtvc=")</f>
        <v>#REF!</v>
      </c>
      <c r="IO39" t="e">
        <f>AND(#REF!,"AAAAAGRZtvg=")</f>
        <v>#REF!</v>
      </c>
      <c r="IP39" t="e">
        <f>AND(#REF!,"AAAAAGRZtvk=")</f>
        <v>#REF!</v>
      </c>
      <c r="IQ39" t="e">
        <f>AND(#REF!,"AAAAAGRZtvo=")</f>
        <v>#REF!</v>
      </c>
      <c r="IR39" t="e">
        <f>AND(#REF!,"AAAAAGRZtvs=")</f>
        <v>#REF!</v>
      </c>
      <c r="IS39" t="e">
        <f>AND(#REF!,"AAAAAGRZtvw=")</f>
        <v>#REF!</v>
      </c>
      <c r="IT39" t="e">
        <f>AND(#REF!,"AAAAAGRZtv0=")</f>
        <v>#REF!</v>
      </c>
      <c r="IU39" t="e">
        <f>AND(#REF!,"AAAAAGRZtv4=")</f>
        <v>#REF!</v>
      </c>
      <c r="IV39" t="e">
        <f>AND(#REF!,"AAAAAGRZtv8=")</f>
        <v>#REF!</v>
      </c>
    </row>
    <row r="40" spans="1:256">
      <c r="A40" t="e">
        <f>AND(#REF!,"AAAAAFm+vwA=")</f>
        <v>#REF!</v>
      </c>
      <c r="B40" t="e">
        <f>AND(#REF!,"AAAAAFm+vwE=")</f>
        <v>#REF!</v>
      </c>
      <c r="C40" t="e">
        <f>AND(#REF!,"AAAAAFm+vwI=")</f>
        <v>#REF!</v>
      </c>
      <c r="D40" t="e">
        <f>AND(#REF!,"AAAAAFm+vwM=")</f>
        <v>#REF!</v>
      </c>
      <c r="E40" t="e">
        <f>AND(#REF!,"AAAAAFm+vwQ=")</f>
        <v>#REF!</v>
      </c>
      <c r="F40" t="e">
        <f>AND(#REF!,"AAAAAFm+vwU=")</f>
        <v>#REF!</v>
      </c>
      <c r="G40" t="e">
        <f>AND(#REF!,"AAAAAFm+vwY=")</f>
        <v>#REF!</v>
      </c>
      <c r="H40" t="e">
        <f>AND(#REF!,"AAAAAFm+vwc=")</f>
        <v>#REF!</v>
      </c>
      <c r="I40" t="e">
        <f>AND(#REF!,"AAAAAFm+vwg=")</f>
        <v>#REF!</v>
      </c>
      <c r="J40" t="e">
        <f>AND(#REF!,"AAAAAFm+vwk=")</f>
        <v>#REF!</v>
      </c>
      <c r="K40" t="e">
        <f>AND(#REF!,"AAAAAFm+vwo=")</f>
        <v>#REF!</v>
      </c>
      <c r="L40" t="e">
        <f>AND(#REF!,"AAAAAFm+vws=")</f>
        <v>#REF!</v>
      </c>
      <c r="M40" t="e">
        <f>IF(#REF!,"AAAAAFm+vww=",0)</f>
        <v>#REF!</v>
      </c>
      <c r="N40" t="e">
        <f>AND(#REF!,"AAAAAFm+vw0=")</f>
        <v>#REF!</v>
      </c>
      <c r="O40" t="e">
        <f>AND(#REF!,"AAAAAFm+vw4=")</f>
        <v>#REF!</v>
      </c>
      <c r="P40" t="e">
        <f>AND(#REF!,"AAAAAFm+vw8=")</f>
        <v>#REF!</v>
      </c>
      <c r="Q40" t="e">
        <f>AND(#REF!,"AAAAAFm+vxA=")</f>
        <v>#REF!</v>
      </c>
      <c r="R40" t="e">
        <f>AND(#REF!,"AAAAAFm+vxE=")</f>
        <v>#REF!</v>
      </c>
      <c r="S40" t="e">
        <f>AND(#REF!,"AAAAAFm+vxI=")</f>
        <v>#REF!</v>
      </c>
      <c r="T40" t="e">
        <f>AND(#REF!,"AAAAAFm+vxM=")</f>
        <v>#REF!</v>
      </c>
      <c r="U40" t="e">
        <f>AND(#REF!,"AAAAAFm+vxQ=")</f>
        <v>#REF!</v>
      </c>
      <c r="V40" t="e">
        <f>AND(#REF!,"AAAAAFm+vxU=")</f>
        <v>#REF!</v>
      </c>
      <c r="W40" t="e">
        <f>AND(#REF!,"AAAAAFm+vxY=")</f>
        <v>#REF!</v>
      </c>
      <c r="X40" t="e">
        <f>AND(#REF!,"AAAAAFm+vxc=")</f>
        <v>#REF!</v>
      </c>
      <c r="Y40" t="e">
        <f>AND(#REF!,"AAAAAFm+vxg=")</f>
        <v>#REF!</v>
      </c>
      <c r="Z40" t="e">
        <f>AND(#REF!,"AAAAAFm+vxk=")</f>
        <v>#REF!</v>
      </c>
      <c r="AA40" t="e">
        <f>AND(#REF!,"AAAAAFm+vxo=")</f>
        <v>#REF!</v>
      </c>
      <c r="AB40" t="e">
        <f>AND(#REF!,"AAAAAFm+vxs=")</f>
        <v>#REF!</v>
      </c>
      <c r="AC40" t="e">
        <f>AND(#REF!,"AAAAAFm+vxw=")</f>
        <v>#REF!</v>
      </c>
      <c r="AD40" t="e">
        <f>AND(#REF!,"AAAAAFm+vx0=")</f>
        <v>#REF!</v>
      </c>
      <c r="AE40" t="e">
        <f>AND(#REF!,"AAAAAFm+vx4=")</f>
        <v>#REF!</v>
      </c>
      <c r="AF40" t="e">
        <f>AND(#REF!,"AAAAAFm+vx8=")</f>
        <v>#REF!</v>
      </c>
      <c r="AG40" t="e">
        <f>AND(#REF!,"AAAAAFm+vyA=")</f>
        <v>#REF!</v>
      </c>
      <c r="AH40" t="e">
        <f>AND(#REF!,"AAAAAFm+vyE=")</f>
        <v>#REF!</v>
      </c>
      <c r="AI40" t="e">
        <f>IF(#REF!,"AAAAAFm+vyI=",0)</f>
        <v>#REF!</v>
      </c>
      <c r="AJ40" t="e">
        <f>AND(#REF!,"AAAAAFm+vyM=")</f>
        <v>#REF!</v>
      </c>
      <c r="AK40" t="e">
        <f>AND(#REF!,"AAAAAFm+vyQ=")</f>
        <v>#REF!</v>
      </c>
      <c r="AL40" t="e">
        <f>AND(#REF!,"AAAAAFm+vyU=")</f>
        <v>#REF!</v>
      </c>
      <c r="AM40" t="e">
        <f>AND(#REF!,"AAAAAFm+vyY=")</f>
        <v>#REF!</v>
      </c>
      <c r="AN40" t="e">
        <f>AND(#REF!,"AAAAAFm+vyc=")</f>
        <v>#REF!</v>
      </c>
      <c r="AO40" t="e">
        <f>AND(#REF!,"AAAAAFm+vyg=")</f>
        <v>#REF!</v>
      </c>
      <c r="AP40" t="e">
        <f>AND(#REF!,"AAAAAFm+vyk=")</f>
        <v>#REF!</v>
      </c>
      <c r="AQ40" t="e">
        <f>AND(#REF!,"AAAAAFm+vyo=")</f>
        <v>#REF!</v>
      </c>
      <c r="AR40" t="e">
        <f>AND(#REF!,"AAAAAFm+vys=")</f>
        <v>#REF!</v>
      </c>
      <c r="AS40" t="e">
        <f>AND(#REF!,"AAAAAFm+vyw=")</f>
        <v>#REF!</v>
      </c>
      <c r="AT40" t="e">
        <f>AND(#REF!,"AAAAAFm+vy0=")</f>
        <v>#REF!</v>
      </c>
      <c r="AU40" t="e">
        <f>AND(#REF!,"AAAAAFm+vy4=")</f>
        <v>#REF!</v>
      </c>
      <c r="AV40" t="e">
        <f>AND(#REF!,"AAAAAFm+vy8=")</f>
        <v>#REF!</v>
      </c>
      <c r="AW40" t="e">
        <f>AND(#REF!,"AAAAAFm+vzA=")</f>
        <v>#REF!</v>
      </c>
      <c r="AX40" t="e">
        <f>AND(#REF!,"AAAAAFm+vzE=")</f>
        <v>#REF!</v>
      </c>
      <c r="AY40" t="e">
        <f>AND(#REF!,"AAAAAFm+vzI=")</f>
        <v>#REF!</v>
      </c>
      <c r="AZ40" t="e">
        <f>AND(#REF!,"AAAAAFm+vzM=")</f>
        <v>#REF!</v>
      </c>
      <c r="BA40" t="e">
        <f>AND(#REF!,"AAAAAFm+vzQ=")</f>
        <v>#REF!</v>
      </c>
      <c r="BB40" t="e">
        <f>AND(#REF!,"AAAAAFm+vzU=")</f>
        <v>#REF!</v>
      </c>
      <c r="BC40" t="e">
        <f>AND(#REF!,"AAAAAFm+vzY=")</f>
        <v>#REF!</v>
      </c>
      <c r="BD40" t="e">
        <f>AND(#REF!,"AAAAAFm+vzc=")</f>
        <v>#REF!</v>
      </c>
      <c r="BE40" t="e">
        <f>IF(#REF!,"AAAAAFm+vzg=",0)</f>
        <v>#REF!</v>
      </c>
      <c r="BF40" t="e">
        <f>AND(#REF!,"AAAAAFm+vzk=")</f>
        <v>#REF!</v>
      </c>
      <c r="BG40" t="e">
        <f>AND(#REF!,"AAAAAFm+vzo=")</f>
        <v>#REF!</v>
      </c>
      <c r="BH40" t="e">
        <f>AND(#REF!,"AAAAAFm+vzs=")</f>
        <v>#REF!</v>
      </c>
      <c r="BI40" t="e">
        <f>AND(#REF!,"AAAAAFm+vzw=")</f>
        <v>#REF!</v>
      </c>
      <c r="BJ40" t="e">
        <f>AND(#REF!,"AAAAAFm+vz0=")</f>
        <v>#REF!</v>
      </c>
      <c r="BK40" t="e">
        <f>AND(#REF!,"AAAAAFm+vz4=")</f>
        <v>#REF!</v>
      </c>
      <c r="BL40" t="e">
        <f>AND(#REF!,"AAAAAFm+vz8=")</f>
        <v>#REF!</v>
      </c>
      <c r="BM40" t="e">
        <f>AND(#REF!,"AAAAAFm+v0A=")</f>
        <v>#REF!</v>
      </c>
      <c r="BN40" t="e">
        <f>AND(#REF!,"AAAAAFm+v0E=")</f>
        <v>#REF!</v>
      </c>
      <c r="BO40" t="e">
        <f>AND(#REF!,"AAAAAFm+v0I=")</f>
        <v>#REF!</v>
      </c>
      <c r="BP40" t="e">
        <f>AND(#REF!,"AAAAAFm+v0M=")</f>
        <v>#REF!</v>
      </c>
      <c r="BQ40" t="e">
        <f>AND(#REF!,"AAAAAFm+v0Q=")</f>
        <v>#REF!</v>
      </c>
      <c r="BR40" t="e">
        <f>AND(#REF!,"AAAAAFm+v0U=")</f>
        <v>#REF!</v>
      </c>
      <c r="BS40" t="e">
        <f>AND(#REF!,"AAAAAFm+v0Y=")</f>
        <v>#REF!</v>
      </c>
      <c r="BT40" t="e">
        <f>AND(#REF!,"AAAAAFm+v0c=")</f>
        <v>#REF!</v>
      </c>
      <c r="BU40" t="e">
        <f>AND(#REF!,"AAAAAFm+v0g=")</f>
        <v>#REF!</v>
      </c>
      <c r="BV40" t="e">
        <f>AND(#REF!,"AAAAAFm+v0k=")</f>
        <v>#REF!</v>
      </c>
      <c r="BW40" t="e">
        <f>AND(#REF!,"AAAAAFm+v0o=")</f>
        <v>#REF!</v>
      </c>
      <c r="BX40" t="e">
        <f>AND(#REF!,"AAAAAFm+v0s=")</f>
        <v>#REF!</v>
      </c>
      <c r="BY40" t="e">
        <f>AND(#REF!,"AAAAAFm+v0w=")</f>
        <v>#REF!</v>
      </c>
      <c r="BZ40" t="e">
        <f>AND(#REF!,"AAAAAFm+v00=")</f>
        <v>#REF!</v>
      </c>
      <c r="CA40" t="e">
        <f>IF(#REF!,"AAAAAFm+v04=",0)</f>
        <v>#REF!</v>
      </c>
      <c r="CB40" t="e">
        <f>AND(#REF!,"AAAAAFm+v08=")</f>
        <v>#REF!</v>
      </c>
      <c r="CC40" t="e">
        <f>AND(#REF!,"AAAAAFm+v1A=")</f>
        <v>#REF!</v>
      </c>
      <c r="CD40" t="e">
        <f>AND(#REF!,"AAAAAFm+v1E=")</f>
        <v>#REF!</v>
      </c>
      <c r="CE40" t="e">
        <f>AND(#REF!,"AAAAAFm+v1I=")</f>
        <v>#REF!</v>
      </c>
      <c r="CF40" t="e">
        <f>AND(#REF!,"AAAAAFm+v1M=")</f>
        <v>#REF!</v>
      </c>
      <c r="CG40" t="e">
        <f>AND(#REF!,"AAAAAFm+v1Q=")</f>
        <v>#REF!</v>
      </c>
      <c r="CH40" t="e">
        <f>AND(#REF!,"AAAAAFm+v1U=")</f>
        <v>#REF!</v>
      </c>
      <c r="CI40" t="e">
        <f>AND(#REF!,"AAAAAFm+v1Y=")</f>
        <v>#REF!</v>
      </c>
      <c r="CJ40" t="e">
        <f>AND(#REF!,"AAAAAFm+v1c=")</f>
        <v>#REF!</v>
      </c>
      <c r="CK40" t="e">
        <f>AND(#REF!,"AAAAAFm+v1g=")</f>
        <v>#REF!</v>
      </c>
      <c r="CL40" t="e">
        <f>AND(#REF!,"AAAAAFm+v1k=")</f>
        <v>#REF!</v>
      </c>
      <c r="CM40" t="e">
        <f>AND(#REF!,"AAAAAFm+v1o=")</f>
        <v>#REF!</v>
      </c>
      <c r="CN40" t="e">
        <f>AND(#REF!,"AAAAAFm+v1s=")</f>
        <v>#REF!</v>
      </c>
      <c r="CO40" t="e">
        <f>AND(#REF!,"AAAAAFm+v1w=")</f>
        <v>#REF!</v>
      </c>
      <c r="CP40" t="e">
        <f>AND(#REF!,"AAAAAFm+v10=")</f>
        <v>#REF!</v>
      </c>
      <c r="CQ40" t="e">
        <f>AND(#REF!,"AAAAAFm+v14=")</f>
        <v>#REF!</v>
      </c>
      <c r="CR40" t="e">
        <f>AND(#REF!,"AAAAAFm+v18=")</f>
        <v>#REF!</v>
      </c>
      <c r="CS40" t="e">
        <f>AND(#REF!,"AAAAAFm+v2A=")</f>
        <v>#REF!</v>
      </c>
      <c r="CT40" t="e">
        <f>AND(#REF!,"AAAAAFm+v2E=")</f>
        <v>#REF!</v>
      </c>
      <c r="CU40" t="e">
        <f>AND(#REF!,"AAAAAFm+v2I=")</f>
        <v>#REF!</v>
      </c>
      <c r="CV40" t="e">
        <f>AND(#REF!,"AAAAAFm+v2M=")</f>
        <v>#REF!</v>
      </c>
      <c r="CW40" t="e">
        <f>IF(#REF!,"AAAAAFm+v2Q=",0)</f>
        <v>#REF!</v>
      </c>
      <c r="CX40" t="e">
        <f>AND(#REF!,"AAAAAFm+v2U=")</f>
        <v>#REF!</v>
      </c>
      <c r="CY40" t="e">
        <f>AND(#REF!,"AAAAAFm+v2Y=")</f>
        <v>#REF!</v>
      </c>
      <c r="CZ40" t="e">
        <f>AND(#REF!,"AAAAAFm+v2c=")</f>
        <v>#REF!</v>
      </c>
      <c r="DA40" t="e">
        <f>AND(#REF!,"AAAAAFm+v2g=")</f>
        <v>#REF!</v>
      </c>
      <c r="DB40" t="e">
        <f>AND(#REF!,"AAAAAFm+v2k=")</f>
        <v>#REF!</v>
      </c>
      <c r="DC40" t="e">
        <f>AND(#REF!,"AAAAAFm+v2o=")</f>
        <v>#REF!</v>
      </c>
      <c r="DD40" t="e">
        <f>AND(#REF!,"AAAAAFm+v2s=")</f>
        <v>#REF!</v>
      </c>
      <c r="DE40" t="e">
        <f>AND(#REF!,"AAAAAFm+v2w=")</f>
        <v>#REF!</v>
      </c>
      <c r="DF40" t="e">
        <f>AND(#REF!,"AAAAAFm+v20=")</f>
        <v>#REF!</v>
      </c>
      <c r="DG40" t="e">
        <f>AND(#REF!,"AAAAAFm+v24=")</f>
        <v>#REF!</v>
      </c>
      <c r="DH40" t="e">
        <f>AND(#REF!,"AAAAAFm+v28=")</f>
        <v>#REF!</v>
      </c>
      <c r="DI40" t="e">
        <f>AND(#REF!,"AAAAAFm+v3A=")</f>
        <v>#REF!</v>
      </c>
      <c r="DJ40" t="e">
        <f>AND(#REF!,"AAAAAFm+v3E=")</f>
        <v>#REF!</v>
      </c>
      <c r="DK40" t="e">
        <f>AND(#REF!,"AAAAAFm+v3I=")</f>
        <v>#REF!</v>
      </c>
      <c r="DL40" t="e">
        <f>AND(#REF!,"AAAAAFm+v3M=")</f>
        <v>#REF!</v>
      </c>
      <c r="DM40" t="e">
        <f>AND(#REF!,"AAAAAFm+v3Q=")</f>
        <v>#REF!</v>
      </c>
      <c r="DN40" t="e">
        <f>AND(#REF!,"AAAAAFm+v3U=")</f>
        <v>#REF!</v>
      </c>
      <c r="DO40" t="e">
        <f>AND(#REF!,"AAAAAFm+v3Y=")</f>
        <v>#REF!</v>
      </c>
      <c r="DP40" t="e">
        <f>AND(#REF!,"AAAAAFm+v3c=")</f>
        <v>#REF!</v>
      </c>
      <c r="DQ40" t="e">
        <f>AND(#REF!,"AAAAAFm+v3g=")</f>
        <v>#REF!</v>
      </c>
      <c r="DR40" t="e">
        <f>AND(#REF!,"AAAAAFm+v3k=")</f>
        <v>#REF!</v>
      </c>
      <c r="DS40" t="e">
        <f>IF(#REF!,"AAAAAFm+v3o=",0)</f>
        <v>#REF!</v>
      </c>
      <c r="DT40" t="e">
        <f>AND(#REF!,"AAAAAFm+v3s=")</f>
        <v>#REF!</v>
      </c>
      <c r="DU40" t="e">
        <f>AND(#REF!,"AAAAAFm+v3w=")</f>
        <v>#REF!</v>
      </c>
      <c r="DV40" t="e">
        <f>AND(#REF!,"AAAAAFm+v30=")</f>
        <v>#REF!</v>
      </c>
      <c r="DW40" t="e">
        <f>AND(#REF!,"AAAAAFm+v34=")</f>
        <v>#REF!</v>
      </c>
      <c r="DX40" t="e">
        <f>AND(#REF!,"AAAAAFm+v38=")</f>
        <v>#REF!</v>
      </c>
      <c r="DY40" t="e">
        <f>AND(#REF!,"AAAAAFm+v4A=")</f>
        <v>#REF!</v>
      </c>
      <c r="DZ40" t="e">
        <f>AND(#REF!,"AAAAAFm+v4E=")</f>
        <v>#REF!</v>
      </c>
      <c r="EA40" t="e">
        <f>AND(#REF!,"AAAAAFm+v4I=")</f>
        <v>#REF!</v>
      </c>
      <c r="EB40" t="e">
        <f>AND(#REF!,"AAAAAFm+v4M=")</f>
        <v>#REF!</v>
      </c>
      <c r="EC40" t="e">
        <f>AND(#REF!,"AAAAAFm+v4Q=")</f>
        <v>#REF!</v>
      </c>
      <c r="ED40" t="e">
        <f>AND(#REF!,"AAAAAFm+v4U=")</f>
        <v>#REF!</v>
      </c>
      <c r="EE40" t="e">
        <f>AND(#REF!,"AAAAAFm+v4Y=")</f>
        <v>#REF!</v>
      </c>
      <c r="EF40" t="e">
        <f>AND(#REF!,"AAAAAFm+v4c=")</f>
        <v>#REF!</v>
      </c>
      <c r="EG40" t="e">
        <f>AND(#REF!,"AAAAAFm+v4g=")</f>
        <v>#REF!</v>
      </c>
      <c r="EH40" t="e">
        <f>AND(#REF!,"AAAAAFm+v4k=")</f>
        <v>#REF!</v>
      </c>
      <c r="EI40" t="e">
        <f>AND(#REF!,"AAAAAFm+v4o=")</f>
        <v>#REF!</v>
      </c>
      <c r="EJ40" t="e">
        <f>AND(#REF!,"AAAAAFm+v4s=")</f>
        <v>#REF!</v>
      </c>
      <c r="EK40" t="e">
        <f>AND(#REF!,"AAAAAFm+v4w=")</f>
        <v>#REF!</v>
      </c>
      <c r="EL40" t="e">
        <f>AND(#REF!,"AAAAAFm+v40=")</f>
        <v>#REF!</v>
      </c>
      <c r="EM40" t="e">
        <f>AND(#REF!,"AAAAAFm+v44=")</f>
        <v>#REF!</v>
      </c>
      <c r="EN40" t="e">
        <f>AND(#REF!,"AAAAAFm+v48=")</f>
        <v>#REF!</v>
      </c>
      <c r="EO40" t="e">
        <f>IF(#REF!,"AAAAAFm+v5A=",0)</f>
        <v>#REF!</v>
      </c>
      <c r="EP40" t="e">
        <f>AND(#REF!,"AAAAAFm+v5E=")</f>
        <v>#REF!</v>
      </c>
      <c r="EQ40" t="e">
        <f>AND(#REF!,"AAAAAFm+v5I=")</f>
        <v>#REF!</v>
      </c>
      <c r="ER40" t="e">
        <f>AND(#REF!,"AAAAAFm+v5M=")</f>
        <v>#REF!</v>
      </c>
      <c r="ES40" t="e">
        <f>AND(#REF!,"AAAAAFm+v5Q=")</f>
        <v>#REF!</v>
      </c>
      <c r="ET40" t="e">
        <f>AND(#REF!,"AAAAAFm+v5U=")</f>
        <v>#REF!</v>
      </c>
      <c r="EU40" t="e">
        <f>AND(#REF!,"AAAAAFm+v5Y=")</f>
        <v>#REF!</v>
      </c>
      <c r="EV40" t="e">
        <f>AND(#REF!,"AAAAAFm+v5c=")</f>
        <v>#REF!</v>
      </c>
      <c r="EW40" t="e">
        <f>AND(#REF!,"AAAAAFm+v5g=")</f>
        <v>#REF!</v>
      </c>
      <c r="EX40" t="e">
        <f>AND(#REF!,"AAAAAFm+v5k=")</f>
        <v>#REF!</v>
      </c>
      <c r="EY40" t="e">
        <f>AND(#REF!,"AAAAAFm+v5o=")</f>
        <v>#REF!</v>
      </c>
      <c r="EZ40" t="e">
        <f>AND(#REF!,"AAAAAFm+v5s=")</f>
        <v>#REF!</v>
      </c>
      <c r="FA40" t="e">
        <f>AND(#REF!,"AAAAAFm+v5w=")</f>
        <v>#REF!</v>
      </c>
      <c r="FB40" t="e">
        <f>AND(#REF!,"AAAAAFm+v50=")</f>
        <v>#REF!</v>
      </c>
      <c r="FC40" t="e">
        <f>AND(#REF!,"AAAAAFm+v54=")</f>
        <v>#REF!</v>
      </c>
      <c r="FD40" t="e">
        <f>AND(#REF!,"AAAAAFm+v58=")</f>
        <v>#REF!</v>
      </c>
      <c r="FE40" t="e">
        <f>AND(#REF!,"AAAAAFm+v6A=")</f>
        <v>#REF!</v>
      </c>
      <c r="FF40" t="e">
        <f>AND(#REF!,"AAAAAFm+v6E=")</f>
        <v>#REF!</v>
      </c>
      <c r="FG40" t="e">
        <f>AND(#REF!,"AAAAAFm+v6I=")</f>
        <v>#REF!</v>
      </c>
      <c r="FH40" t="e">
        <f>AND(#REF!,"AAAAAFm+v6M=")</f>
        <v>#REF!</v>
      </c>
      <c r="FI40" t="e">
        <f>AND(#REF!,"AAAAAFm+v6Q=")</f>
        <v>#REF!</v>
      </c>
      <c r="FJ40" t="e">
        <f>AND(#REF!,"AAAAAFm+v6U=")</f>
        <v>#REF!</v>
      </c>
      <c r="FK40" t="e">
        <f>IF(#REF!,"AAAAAFm+v6Y=",0)</f>
        <v>#REF!</v>
      </c>
      <c r="FL40" t="e">
        <f>AND(#REF!,"AAAAAFm+v6c=")</f>
        <v>#REF!</v>
      </c>
      <c r="FM40" t="e">
        <f>AND(#REF!,"AAAAAFm+v6g=")</f>
        <v>#REF!</v>
      </c>
      <c r="FN40" t="e">
        <f>AND(#REF!,"AAAAAFm+v6k=")</f>
        <v>#REF!</v>
      </c>
      <c r="FO40" t="e">
        <f>AND(#REF!,"AAAAAFm+v6o=")</f>
        <v>#REF!</v>
      </c>
      <c r="FP40" t="e">
        <f>AND(#REF!,"AAAAAFm+v6s=")</f>
        <v>#REF!</v>
      </c>
      <c r="FQ40" t="e">
        <f>AND(#REF!,"AAAAAFm+v6w=")</f>
        <v>#REF!</v>
      </c>
      <c r="FR40" t="e">
        <f>AND(#REF!,"AAAAAFm+v60=")</f>
        <v>#REF!</v>
      </c>
      <c r="FS40" t="e">
        <f>AND(#REF!,"AAAAAFm+v64=")</f>
        <v>#REF!</v>
      </c>
      <c r="FT40" t="e">
        <f>AND(#REF!,"AAAAAFm+v68=")</f>
        <v>#REF!</v>
      </c>
      <c r="FU40" t="e">
        <f>AND(#REF!,"AAAAAFm+v7A=")</f>
        <v>#REF!</v>
      </c>
      <c r="FV40" t="e">
        <f>AND(#REF!,"AAAAAFm+v7E=")</f>
        <v>#REF!</v>
      </c>
      <c r="FW40" t="e">
        <f>AND(#REF!,"AAAAAFm+v7I=")</f>
        <v>#REF!</v>
      </c>
      <c r="FX40" t="e">
        <f>AND(#REF!,"AAAAAFm+v7M=")</f>
        <v>#REF!</v>
      </c>
      <c r="FY40" t="e">
        <f>AND(#REF!,"AAAAAFm+v7Q=")</f>
        <v>#REF!</v>
      </c>
      <c r="FZ40" t="e">
        <f>AND(#REF!,"AAAAAFm+v7U=")</f>
        <v>#REF!</v>
      </c>
      <c r="GA40" t="e">
        <f>AND(#REF!,"AAAAAFm+v7Y=")</f>
        <v>#REF!</v>
      </c>
      <c r="GB40" t="e">
        <f>AND(#REF!,"AAAAAFm+v7c=")</f>
        <v>#REF!</v>
      </c>
      <c r="GC40" t="e">
        <f>AND(#REF!,"AAAAAFm+v7g=")</f>
        <v>#REF!</v>
      </c>
      <c r="GD40" t="e">
        <f>AND(#REF!,"AAAAAFm+v7k=")</f>
        <v>#REF!</v>
      </c>
      <c r="GE40" t="e">
        <f>AND(#REF!,"AAAAAFm+v7o=")</f>
        <v>#REF!</v>
      </c>
      <c r="GF40" t="e">
        <f>AND(#REF!,"AAAAAFm+v7s=")</f>
        <v>#REF!</v>
      </c>
      <c r="GG40" t="e">
        <f>IF(#REF!,"AAAAAFm+v7w=",0)</f>
        <v>#REF!</v>
      </c>
      <c r="GH40" t="e">
        <f>AND(#REF!,"AAAAAFm+v70=")</f>
        <v>#REF!</v>
      </c>
      <c r="GI40" t="e">
        <f>AND(#REF!,"AAAAAFm+v74=")</f>
        <v>#REF!</v>
      </c>
      <c r="GJ40" t="e">
        <f>AND(#REF!,"AAAAAFm+v78=")</f>
        <v>#REF!</v>
      </c>
      <c r="GK40" t="e">
        <f>AND(#REF!,"AAAAAFm+v8A=")</f>
        <v>#REF!</v>
      </c>
      <c r="GL40" t="e">
        <f>AND(#REF!,"AAAAAFm+v8E=")</f>
        <v>#REF!</v>
      </c>
      <c r="GM40" t="e">
        <f>AND(#REF!,"AAAAAFm+v8I=")</f>
        <v>#REF!</v>
      </c>
      <c r="GN40" t="e">
        <f>AND(#REF!,"AAAAAFm+v8M=")</f>
        <v>#REF!</v>
      </c>
      <c r="GO40" t="e">
        <f>AND(#REF!,"AAAAAFm+v8Q=")</f>
        <v>#REF!</v>
      </c>
      <c r="GP40" t="e">
        <f>AND(#REF!,"AAAAAFm+v8U=")</f>
        <v>#REF!</v>
      </c>
      <c r="GQ40" t="e">
        <f>AND(#REF!,"AAAAAFm+v8Y=")</f>
        <v>#REF!</v>
      </c>
      <c r="GR40" t="e">
        <f>AND(#REF!,"AAAAAFm+v8c=")</f>
        <v>#REF!</v>
      </c>
      <c r="GS40" t="e">
        <f>AND(#REF!,"AAAAAFm+v8g=")</f>
        <v>#REF!</v>
      </c>
      <c r="GT40" t="e">
        <f>AND(#REF!,"AAAAAFm+v8k=")</f>
        <v>#REF!</v>
      </c>
      <c r="GU40" t="e">
        <f>AND(#REF!,"AAAAAFm+v8o=")</f>
        <v>#REF!</v>
      </c>
      <c r="GV40" t="e">
        <f>AND(#REF!,"AAAAAFm+v8s=")</f>
        <v>#REF!</v>
      </c>
      <c r="GW40" t="e">
        <f>AND(#REF!,"AAAAAFm+v8w=")</f>
        <v>#REF!</v>
      </c>
      <c r="GX40" t="e">
        <f>AND(#REF!,"AAAAAFm+v80=")</f>
        <v>#REF!</v>
      </c>
      <c r="GY40" t="e">
        <f>AND(#REF!,"AAAAAFm+v84=")</f>
        <v>#REF!</v>
      </c>
      <c r="GZ40" t="e">
        <f>AND(#REF!,"AAAAAFm+v88=")</f>
        <v>#REF!</v>
      </c>
      <c r="HA40" t="e">
        <f>AND(#REF!,"AAAAAFm+v9A=")</f>
        <v>#REF!</v>
      </c>
      <c r="HB40" t="e">
        <f>AND(#REF!,"AAAAAFm+v9E=")</f>
        <v>#REF!</v>
      </c>
      <c r="HC40" t="e">
        <f>IF(#REF!,"AAAAAFm+v9I=",0)</f>
        <v>#REF!</v>
      </c>
      <c r="HD40" t="e">
        <f>AND(#REF!,"AAAAAFm+v9M=")</f>
        <v>#REF!</v>
      </c>
      <c r="HE40" t="e">
        <f>AND(#REF!,"AAAAAFm+v9Q=")</f>
        <v>#REF!</v>
      </c>
      <c r="HF40" t="e">
        <f>AND(#REF!,"AAAAAFm+v9U=")</f>
        <v>#REF!</v>
      </c>
      <c r="HG40" t="e">
        <f>AND(#REF!,"AAAAAFm+v9Y=")</f>
        <v>#REF!</v>
      </c>
      <c r="HH40" t="e">
        <f>AND(#REF!,"AAAAAFm+v9c=")</f>
        <v>#REF!</v>
      </c>
      <c r="HI40" t="e">
        <f>AND(#REF!,"AAAAAFm+v9g=")</f>
        <v>#REF!</v>
      </c>
      <c r="HJ40" t="e">
        <f>AND(#REF!,"AAAAAFm+v9k=")</f>
        <v>#REF!</v>
      </c>
      <c r="HK40" t="e">
        <f>AND(#REF!,"AAAAAFm+v9o=")</f>
        <v>#REF!</v>
      </c>
      <c r="HL40" t="e">
        <f>AND(#REF!,"AAAAAFm+v9s=")</f>
        <v>#REF!</v>
      </c>
      <c r="HM40" t="e">
        <f>AND(#REF!,"AAAAAFm+v9w=")</f>
        <v>#REF!</v>
      </c>
      <c r="HN40" t="e">
        <f>AND(#REF!,"AAAAAFm+v90=")</f>
        <v>#REF!</v>
      </c>
      <c r="HO40" t="e">
        <f>AND(#REF!,"AAAAAFm+v94=")</f>
        <v>#REF!</v>
      </c>
      <c r="HP40" t="e">
        <f>AND(#REF!,"AAAAAFm+v98=")</f>
        <v>#REF!</v>
      </c>
      <c r="HQ40" t="e">
        <f>AND(#REF!,"AAAAAFm+v+A=")</f>
        <v>#REF!</v>
      </c>
      <c r="HR40" t="e">
        <f>AND(#REF!,"AAAAAFm+v+E=")</f>
        <v>#REF!</v>
      </c>
      <c r="HS40" t="e">
        <f>AND(#REF!,"AAAAAFm+v+I=")</f>
        <v>#REF!</v>
      </c>
      <c r="HT40" t="e">
        <f>AND(#REF!,"AAAAAFm+v+M=")</f>
        <v>#REF!</v>
      </c>
      <c r="HU40" t="e">
        <f>AND(#REF!,"AAAAAFm+v+Q=")</f>
        <v>#REF!</v>
      </c>
      <c r="HV40" t="e">
        <f>AND(#REF!,"AAAAAFm+v+U=")</f>
        <v>#REF!</v>
      </c>
      <c r="HW40" t="e">
        <f>AND(#REF!,"AAAAAFm+v+Y=")</f>
        <v>#REF!</v>
      </c>
      <c r="HX40" t="e">
        <f>AND(#REF!,"AAAAAFm+v+c=")</f>
        <v>#REF!</v>
      </c>
      <c r="HY40" t="e">
        <f>IF(#REF!,"AAAAAFm+v+g=",0)</f>
        <v>#REF!</v>
      </c>
      <c r="HZ40" t="e">
        <f>AND(#REF!,"AAAAAFm+v+k=")</f>
        <v>#REF!</v>
      </c>
      <c r="IA40" t="e">
        <f>AND(#REF!,"AAAAAFm+v+o=")</f>
        <v>#REF!</v>
      </c>
      <c r="IB40" t="e">
        <f>AND(#REF!,"AAAAAFm+v+s=")</f>
        <v>#REF!</v>
      </c>
      <c r="IC40" t="e">
        <f>AND(#REF!,"AAAAAFm+v+w=")</f>
        <v>#REF!</v>
      </c>
      <c r="ID40" t="e">
        <f>AND(#REF!,"AAAAAFm+v+0=")</f>
        <v>#REF!</v>
      </c>
      <c r="IE40" t="e">
        <f>AND(#REF!,"AAAAAFm+v+4=")</f>
        <v>#REF!</v>
      </c>
      <c r="IF40" t="e">
        <f>AND(#REF!,"AAAAAFm+v+8=")</f>
        <v>#REF!</v>
      </c>
      <c r="IG40" t="e">
        <f>AND(#REF!,"AAAAAFm+v/A=")</f>
        <v>#REF!</v>
      </c>
      <c r="IH40" t="e">
        <f>AND(#REF!,"AAAAAFm+v/E=")</f>
        <v>#REF!</v>
      </c>
      <c r="II40" t="e">
        <f>AND(#REF!,"AAAAAFm+v/I=")</f>
        <v>#REF!</v>
      </c>
      <c r="IJ40" t="e">
        <f>AND(#REF!,"AAAAAFm+v/M=")</f>
        <v>#REF!</v>
      </c>
      <c r="IK40" t="e">
        <f>AND(#REF!,"AAAAAFm+v/Q=")</f>
        <v>#REF!</v>
      </c>
      <c r="IL40" t="e">
        <f>AND(#REF!,"AAAAAFm+v/U=")</f>
        <v>#REF!</v>
      </c>
      <c r="IM40" t="e">
        <f>AND(#REF!,"AAAAAFm+v/Y=")</f>
        <v>#REF!</v>
      </c>
      <c r="IN40" t="e">
        <f>AND(#REF!,"AAAAAFm+v/c=")</f>
        <v>#REF!</v>
      </c>
      <c r="IO40" t="e">
        <f>AND(#REF!,"AAAAAFm+v/g=")</f>
        <v>#REF!</v>
      </c>
      <c r="IP40" t="e">
        <f>AND(#REF!,"AAAAAFm+v/k=")</f>
        <v>#REF!</v>
      </c>
      <c r="IQ40" t="e">
        <f>AND(#REF!,"AAAAAFm+v/o=")</f>
        <v>#REF!</v>
      </c>
      <c r="IR40" t="e">
        <f>AND(#REF!,"AAAAAFm+v/s=")</f>
        <v>#REF!</v>
      </c>
      <c r="IS40" t="e">
        <f>AND(#REF!,"AAAAAFm+v/w=")</f>
        <v>#REF!</v>
      </c>
      <c r="IT40" t="e">
        <f>AND(#REF!,"AAAAAFm+v/0=")</f>
        <v>#REF!</v>
      </c>
      <c r="IU40" t="e">
        <f>IF(#REF!,"AAAAAFm+v/4=",0)</f>
        <v>#REF!</v>
      </c>
      <c r="IV40" t="e">
        <f>AND(#REF!,"AAAAAFm+v/8=")</f>
        <v>#REF!</v>
      </c>
    </row>
    <row r="41" spans="1:256">
      <c r="A41" t="e">
        <f>AND(#REF!,"AAAAAH3+YQA=")</f>
        <v>#REF!</v>
      </c>
      <c r="B41" t="e">
        <f>AND(#REF!,"AAAAAH3+YQE=")</f>
        <v>#REF!</v>
      </c>
      <c r="C41" t="e">
        <f>AND(#REF!,"AAAAAH3+YQI=")</f>
        <v>#REF!</v>
      </c>
      <c r="D41" t="e">
        <f>AND(#REF!,"AAAAAH3+YQM=")</f>
        <v>#REF!</v>
      </c>
      <c r="E41" t="e">
        <f>AND(#REF!,"AAAAAH3+YQQ=")</f>
        <v>#REF!</v>
      </c>
      <c r="F41" t="e">
        <f>AND(#REF!,"AAAAAH3+YQU=")</f>
        <v>#REF!</v>
      </c>
      <c r="G41" t="e">
        <f>AND(#REF!,"AAAAAH3+YQY=")</f>
        <v>#REF!</v>
      </c>
      <c r="H41" t="e">
        <f>AND(#REF!,"AAAAAH3+YQc=")</f>
        <v>#REF!</v>
      </c>
      <c r="I41" t="e">
        <f>AND(#REF!,"AAAAAH3+YQg=")</f>
        <v>#REF!</v>
      </c>
      <c r="J41" t="e">
        <f>AND(#REF!,"AAAAAH3+YQk=")</f>
        <v>#REF!</v>
      </c>
      <c r="K41" t="e">
        <f>AND(#REF!,"AAAAAH3+YQo=")</f>
        <v>#REF!</v>
      </c>
      <c r="L41" t="e">
        <f>AND(#REF!,"AAAAAH3+YQs=")</f>
        <v>#REF!</v>
      </c>
      <c r="M41" t="e">
        <f>AND(#REF!,"AAAAAH3+YQw=")</f>
        <v>#REF!</v>
      </c>
      <c r="N41" t="e">
        <f>AND(#REF!,"AAAAAH3+YQ0=")</f>
        <v>#REF!</v>
      </c>
      <c r="O41" t="e">
        <f>AND(#REF!,"AAAAAH3+YQ4=")</f>
        <v>#REF!</v>
      </c>
      <c r="P41" t="e">
        <f>AND(#REF!,"AAAAAH3+YQ8=")</f>
        <v>#REF!</v>
      </c>
      <c r="Q41" t="e">
        <f>AND(#REF!,"AAAAAH3+YRA=")</f>
        <v>#REF!</v>
      </c>
      <c r="R41" t="e">
        <f>AND(#REF!,"AAAAAH3+YRE=")</f>
        <v>#REF!</v>
      </c>
      <c r="S41" t="e">
        <f>AND(#REF!,"AAAAAH3+YRI=")</f>
        <v>#REF!</v>
      </c>
      <c r="T41" t="e">
        <f>AND(#REF!,"AAAAAH3+YRM=")</f>
        <v>#REF!</v>
      </c>
      <c r="U41" t="e">
        <f>IF(#REF!,"AAAAAH3+YRQ=",0)</f>
        <v>#REF!</v>
      </c>
      <c r="V41" t="e">
        <f>AND(#REF!,"AAAAAH3+YRU=")</f>
        <v>#REF!</v>
      </c>
      <c r="W41" t="e">
        <f>AND(#REF!,"AAAAAH3+YRY=")</f>
        <v>#REF!</v>
      </c>
      <c r="X41" t="e">
        <f>AND(#REF!,"AAAAAH3+YRc=")</f>
        <v>#REF!</v>
      </c>
      <c r="Y41" t="e">
        <f>AND(#REF!,"AAAAAH3+YRg=")</f>
        <v>#REF!</v>
      </c>
      <c r="Z41" t="e">
        <f>AND(#REF!,"AAAAAH3+YRk=")</f>
        <v>#REF!</v>
      </c>
      <c r="AA41" t="e">
        <f>AND(#REF!,"AAAAAH3+YRo=")</f>
        <v>#REF!</v>
      </c>
      <c r="AB41" t="e">
        <f>AND(#REF!,"AAAAAH3+YRs=")</f>
        <v>#REF!</v>
      </c>
      <c r="AC41" t="e">
        <f>AND(#REF!,"AAAAAH3+YRw=")</f>
        <v>#REF!</v>
      </c>
      <c r="AD41" t="e">
        <f>AND(#REF!,"AAAAAH3+YR0=")</f>
        <v>#REF!</v>
      </c>
      <c r="AE41" t="e">
        <f>AND(#REF!,"AAAAAH3+YR4=")</f>
        <v>#REF!</v>
      </c>
      <c r="AF41" t="e">
        <f>AND(#REF!,"AAAAAH3+YR8=")</f>
        <v>#REF!</v>
      </c>
      <c r="AG41" t="e">
        <f>AND(#REF!,"AAAAAH3+YSA=")</f>
        <v>#REF!</v>
      </c>
      <c r="AH41" t="e">
        <f>AND(#REF!,"AAAAAH3+YSE=")</f>
        <v>#REF!</v>
      </c>
      <c r="AI41" t="e">
        <f>AND(#REF!,"AAAAAH3+YSI=")</f>
        <v>#REF!</v>
      </c>
      <c r="AJ41" t="e">
        <f>AND(#REF!,"AAAAAH3+YSM=")</f>
        <v>#REF!</v>
      </c>
      <c r="AK41" t="e">
        <f>AND(#REF!,"AAAAAH3+YSQ=")</f>
        <v>#REF!</v>
      </c>
      <c r="AL41" t="e">
        <f>AND(#REF!,"AAAAAH3+YSU=")</f>
        <v>#REF!</v>
      </c>
      <c r="AM41" t="e">
        <f>AND(#REF!,"AAAAAH3+YSY=")</f>
        <v>#REF!</v>
      </c>
      <c r="AN41" t="e">
        <f>AND(#REF!,"AAAAAH3+YSc=")</f>
        <v>#REF!</v>
      </c>
      <c r="AO41" t="e">
        <f>AND(#REF!,"AAAAAH3+YSg=")</f>
        <v>#REF!</v>
      </c>
      <c r="AP41" t="e">
        <f>AND(#REF!,"AAAAAH3+YSk=")</f>
        <v>#REF!</v>
      </c>
      <c r="AQ41" t="e">
        <f>IF(#REF!,"AAAAAH3+YSo=",0)</f>
        <v>#REF!</v>
      </c>
      <c r="AR41" t="e">
        <f>AND(#REF!,"AAAAAH3+YSs=")</f>
        <v>#REF!</v>
      </c>
      <c r="AS41" t="e">
        <f>AND(#REF!,"AAAAAH3+YSw=")</f>
        <v>#REF!</v>
      </c>
      <c r="AT41" t="e">
        <f>AND(#REF!,"AAAAAH3+YS0=")</f>
        <v>#REF!</v>
      </c>
      <c r="AU41" t="e">
        <f>AND(#REF!,"AAAAAH3+YS4=")</f>
        <v>#REF!</v>
      </c>
      <c r="AV41" t="e">
        <f>AND(#REF!,"AAAAAH3+YS8=")</f>
        <v>#REF!</v>
      </c>
      <c r="AW41" t="e">
        <f>AND(#REF!,"AAAAAH3+YTA=")</f>
        <v>#REF!</v>
      </c>
      <c r="AX41" t="e">
        <f>AND(#REF!,"AAAAAH3+YTE=")</f>
        <v>#REF!</v>
      </c>
      <c r="AY41" t="e">
        <f>AND(#REF!,"AAAAAH3+YTI=")</f>
        <v>#REF!</v>
      </c>
      <c r="AZ41" t="e">
        <f>AND(#REF!,"AAAAAH3+YTM=")</f>
        <v>#REF!</v>
      </c>
      <c r="BA41" t="e">
        <f>AND(#REF!,"AAAAAH3+YTQ=")</f>
        <v>#REF!</v>
      </c>
      <c r="BB41" t="e">
        <f>AND(#REF!,"AAAAAH3+YTU=")</f>
        <v>#REF!</v>
      </c>
      <c r="BC41" t="e">
        <f>AND(#REF!,"AAAAAH3+YTY=")</f>
        <v>#REF!</v>
      </c>
      <c r="BD41" t="e">
        <f>AND(#REF!,"AAAAAH3+YTc=")</f>
        <v>#REF!</v>
      </c>
      <c r="BE41" t="e">
        <f>AND(#REF!,"AAAAAH3+YTg=")</f>
        <v>#REF!</v>
      </c>
      <c r="BF41" t="e">
        <f>AND(#REF!,"AAAAAH3+YTk=")</f>
        <v>#REF!</v>
      </c>
      <c r="BG41" t="e">
        <f>AND(#REF!,"AAAAAH3+YTo=")</f>
        <v>#REF!</v>
      </c>
      <c r="BH41" t="e">
        <f>AND(#REF!,"AAAAAH3+YTs=")</f>
        <v>#REF!</v>
      </c>
      <c r="BI41" t="e">
        <f>AND(#REF!,"AAAAAH3+YTw=")</f>
        <v>#REF!</v>
      </c>
      <c r="BJ41" t="e">
        <f>AND(#REF!,"AAAAAH3+YT0=")</f>
        <v>#REF!</v>
      </c>
      <c r="BK41" t="e">
        <f>AND(#REF!,"AAAAAH3+YT4=")</f>
        <v>#REF!</v>
      </c>
      <c r="BL41" t="e">
        <f>AND(#REF!,"AAAAAH3+YT8=")</f>
        <v>#REF!</v>
      </c>
      <c r="BM41" t="e">
        <f>IF(#REF!,"AAAAAH3+YUA=",0)</f>
        <v>#REF!</v>
      </c>
      <c r="BN41" t="e">
        <f>AND(#REF!,"AAAAAH3+YUE=")</f>
        <v>#REF!</v>
      </c>
      <c r="BO41" t="e">
        <f>AND(#REF!,"AAAAAH3+YUI=")</f>
        <v>#REF!</v>
      </c>
      <c r="BP41" t="e">
        <f>AND(#REF!,"AAAAAH3+YUM=")</f>
        <v>#REF!</v>
      </c>
      <c r="BQ41" t="e">
        <f>AND(#REF!,"AAAAAH3+YUQ=")</f>
        <v>#REF!</v>
      </c>
      <c r="BR41" t="e">
        <f>AND(#REF!,"AAAAAH3+YUU=")</f>
        <v>#REF!</v>
      </c>
      <c r="BS41" t="e">
        <f>AND(#REF!,"AAAAAH3+YUY=")</f>
        <v>#REF!</v>
      </c>
      <c r="BT41" t="e">
        <f>AND(#REF!,"AAAAAH3+YUc=")</f>
        <v>#REF!</v>
      </c>
      <c r="BU41" t="e">
        <f>AND(#REF!,"AAAAAH3+YUg=")</f>
        <v>#REF!</v>
      </c>
      <c r="BV41" t="e">
        <f>AND(#REF!,"AAAAAH3+YUk=")</f>
        <v>#REF!</v>
      </c>
      <c r="BW41" t="e">
        <f>AND(#REF!,"AAAAAH3+YUo=")</f>
        <v>#REF!</v>
      </c>
      <c r="BX41" t="e">
        <f>AND(#REF!,"AAAAAH3+YUs=")</f>
        <v>#REF!</v>
      </c>
      <c r="BY41" t="e">
        <f>AND(#REF!,"AAAAAH3+YUw=")</f>
        <v>#REF!</v>
      </c>
      <c r="BZ41" t="e">
        <f>AND(#REF!,"AAAAAH3+YU0=")</f>
        <v>#REF!</v>
      </c>
      <c r="CA41" t="e">
        <f>AND(#REF!,"AAAAAH3+YU4=")</f>
        <v>#REF!</v>
      </c>
      <c r="CB41" t="e">
        <f>AND(#REF!,"AAAAAH3+YU8=")</f>
        <v>#REF!</v>
      </c>
      <c r="CC41" t="e">
        <f>AND(#REF!,"AAAAAH3+YVA=")</f>
        <v>#REF!</v>
      </c>
      <c r="CD41" t="e">
        <f>AND(#REF!,"AAAAAH3+YVE=")</f>
        <v>#REF!</v>
      </c>
      <c r="CE41" t="e">
        <f>AND(#REF!,"AAAAAH3+YVI=")</f>
        <v>#REF!</v>
      </c>
      <c r="CF41" t="e">
        <f>AND(#REF!,"AAAAAH3+YVM=")</f>
        <v>#REF!</v>
      </c>
      <c r="CG41" t="e">
        <f>AND(#REF!,"AAAAAH3+YVQ=")</f>
        <v>#REF!</v>
      </c>
      <c r="CH41" t="e">
        <f>AND(#REF!,"AAAAAH3+YVU=")</f>
        <v>#REF!</v>
      </c>
      <c r="CI41" t="e">
        <f>IF(#REF!,"AAAAAH3+YVY=",0)</f>
        <v>#REF!</v>
      </c>
      <c r="CJ41" t="e">
        <f>AND(#REF!,"AAAAAH3+YVc=")</f>
        <v>#REF!</v>
      </c>
      <c r="CK41" t="e">
        <f>AND(#REF!,"AAAAAH3+YVg=")</f>
        <v>#REF!</v>
      </c>
      <c r="CL41" t="e">
        <f>AND(#REF!,"AAAAAH3+YVk=")</f>
        <v>#REF!</v>
      </c>
      <c r="CM41" t="e">
        <f>AND(#REF!,"AAAAAH3+YVo=")</f>
        <v>#REF!</v>
      </c>
      <c r="CN41" t="e">
        <f>AND(#REF!,"AAAAAH3+YVs=")</f>
        <v>#REF!</v>
      </c>
      <c r="CO41" t="e">
        <f>AND(#REF!,"AAAAAH3+YVw=")</f>
        <v>#REF!</v>
      </c>
      <c r="CP41" t="e">
        <f>AND(#REF!,"AAAAAH3+YV0=")</f>
        <v>#REF!</v>
      </c>
      <c r="CQ41" t="e">
        <f>AND(#REF!,"AAAAAH3+YV4=")</f>
        <v>#REF!</v>
      </c>
      <c r="CR41" t="e">
        <f>AND(#REF!,"AAAAAH3+YV8=")</f>
        <v>#REF!</v>
      </c>
      <c r="CS41" t="e">
        <f>AND(#REF!,"AAAAAH3+YWA=")</f>
        <v>#REF!</v>
      </c>
      <c r="CT41" t="e">
        <f>AND(#REF!,"AAAAAH3+YWE=")</f>
        <v>#REF!</v>
      </c>
      <c r="CU41" t="e">
        <f>AND(#REF!,"AAAAAH3+YWI=")</f>
        <v>#REF!</v>
      </c>
      <c r="CV41" t="e">
        <f>AND(#REF!,"AAAAAH3+YWM=")</f>
        <v>#REF!</v>
      </c>
      <c r="CW41" t="e">
        <f>AND(#REF!,"AAAAAH3+YWQ=")</f>
        <v>#REF!</v>
      </c>
      <c r="CX41" t="e">
        <f>AND(#REF!,"AAAAAH3+YWU=")</f>
        <v>#REF!</v>
      </c>
      <c r="CY41" t="e">
        <f>AND(#REF!,"AAAAAH3+YWY=")</f>
        <v>#REF!</v>
      </c>
      <c r="CZ41" t="e">
        <f>AND(#REF!,"AAAAAH3+YWc=")</f>
        <v>#REF!</v>
      </c>
      <c r="DA41" t="e">
        <f>AND(#REF!,"AAAAAH3+YWg=")</f>
        <v>#REF!</v>
      </c>
      <c r="DB41" t="e">
        <f>AND(#REF!,"AAAAAH3+YWk=")</f>
        <v>#REF!</v>
      </c>
      <c r="DC41" t="e">
        <f>AND(#REF!,"AAAAAH3+YWo=")</f>
        <v>#REF!</v>
      </c>
      <c r="DD41" t="e">
        <f>AND(#REF!,"AAAAAH3+YWs=")</f>
        <v>#REF!</v>
      </c>
      <c r="DE41" t="e">
        <f>IF(#REF!,"AAAAAH3+YWw=",0)</f>
        <v>#REF!</v>
      </c>
      <c r="DF41" t="e">
        <f>AND(#REF!,"AAAAAH3+YW0=")</f>
        <v>#REF!</v>
      </c>
      <c r="DG41" t="e">
        <f>AND(#REF!,"AAAAAH3+YW4=")</f>
        <v>#REF!</v>
      </c>
      <c r="DH41" t="e">
        <f>AND(#REF!,"AAAAAH3+YW8=")</f>
        <v>#REF!</v>
      </c>
      <c r="DI41" t="e">
        <f>AND(#REF!,"AAAAAH3+YXA=")</f>
        <v>#REF!</v>
      </c>
      <c r="DJ41" t="e">
        <f>AND(#REF!,"AAAAAH3+YXE=")</f>
        <v>#REF!</v>
      </c>
      <c r="DK41" t="e">
        <f>AND(#REF!,"AAAAAH3+YXI=")</f>
        <v>#REF!</v>
      </c>
      <c r="DL41" t="e">
        <f>AND(#REF!,"AAAAAH3+YXM=")</f>
        <v>#REF!</v>
      </c>
      <c r="DM41" t="e">
        <f>AND(#REF!,"AAAAAH3+YXQ=")</f>
        <v>#REF!</v>
      </c>
      <c r="DN41" t="e">
        <f>AND(#REF!,"AAAAAH3+YXU=")</f>
        <v>#REF!</v>
      </c>
      <c r="DO41" t="e">
        <f>AND(#REF!,"AAAAAH3+YXY=")</f>
        <v>#REF!</v>
      </c>
      <c r="DP41" t="e">
        <f>AND(#REF!,"AAAAAH3+YXc=")</f>
        <v>#REF!</v>
      </c>
      <c r="DQ41" t="e">
        <f>AND(#REF!,"AAAAAH3+YXg=")</f>
        <v>#REF!</v>
      </c>
      <c r="DR41" t="e">
        <f>AND(#REF!,"AAAAAH3+YXk=")</f>
        <v>#REF!</v>
      </c>
      <c r="DS41" t="e">
        <f>AND(#REF!,"AAAAAH3+YXo=")</f>
        <v>#REF!</v>
      </c>
      <c r="DT41" t="e">
        <f>AND(#REF!,"AAAAAH3+YXs=")</f>
        <v>#REF!</v>
      </c>
      <c r="DU41" t="e">
        <f>AND(#REF!,"AAAAAH3+YXw=")</f>
        <v>#REF!</v>
      </c>
      <c r="DV41" t="e">
        <f>AND(#REF!,"AAAAAH3+YX0=")</f>
        <v>#REF!</v>
      </c>
      <c r="DW41" t="e">
        <f>AND(#REF!,"AAAAAH3+YX4=")</f>
        <v>#REF!</v>
      </c>
      <c r="DX41" t="e">
        <f>AND(#REF!,"AAAAAH3+YX8=")</f>
        <v>#REF!</v>
      </c>
      <c r="DY41" t="e">
        <f>AND(#REF!,"AAAAAH3+YYA=")</f>
        <v>#REF!</v>
      </c>
      <c r="DZ41" t="e">
        <f>AND(#REF!,"AAAAAH3+YYE=")</f>
        <v>#REF!</v>
      </c>
      <c r="EA41" t="e">
        <f>IF(#REF!,"AAAAAH3+YYI=",0)</f>
        <v>#REF!</v>
      </c>
      <c r="EB41" t="e">
        <f>AND(#REF!,"AAAAAH3+YYM=")</f>
        <v>#REF!</v>
      </c>
      <c r="EC41" t="e">
        <f>AND(#REF!,"AAAAAH3+YYQ=")</f>
        <v>#REF!</v>
      </c>
      <c r="ED41" t="e">
        <f>AND(#REF!,"AAAAAH3+YYU=")</f>
        <v>#REF!</v>
      </c>
      <c r="EE41" t="e">
        <f>AND(#REF!,"AAAAAH3+YYY=")</f>
        <v>#REF!</v>
      </c>
      <c r="EF41" t="e">
        <f>AND(#REF!,"AAAAAH3+YYc=")</f>
        <v>#REF!</v>
      </c>
      <c r="EG41" t="e">
        <f>AND(#REF!,"AAAAAH3+YYg=")</f>
        <v>#REF!</v>
      </c>
      <c r="EH41" t="e">
        <f>AND(#REF!,"AAAAAH3+YYk=")</f>
        <v>#REF!</v>
      </c>
      <c r="EI41" t="e">
        <f>AND(#REF!,"AAAAAH3+YYo=")</f>
        <v>#REF!</v>
      </c>
      <c r="EJ41" t="e">
        <f>AND(#REF!,"AAAAAH3+YYs=")</f>
        <v>#REF!</v>
      </c>
      <c r="EK41" t="e">
        <f>AND(#REF!,"AAAAAH3+YYw=")</f>
        <v>#REF!</v>
      </c>
      <c r="EL41" t="e">
        <f>AND(#REF!,"AAAAAH3+YY0=")</f>
        <v>#REF!</v>
      </c>
      <c r="EM41" t="e">
        <f>AND(#REF!,"AAAAAH3+YY4=")</f>
        <v>#REF!</v>
      </c>
      <c r="EN41" t="e">
        <f>AND(#REF!,"AAAAAH3+YY8=")</f>
        <v>#REF!</v>
      </c>
      <c r="EO41" t="e">
        <f>AND(#REF!,"AAAAAH3+YZA=")</f>
        <v>#REF!</v>
      </c>
      <c r="EP41" t="e">
        <f>AND(#REF!,"AAAAAH3+YZE=")</f>
        <v>#REF!</v>
      </c>
      <c r="EQ41" t="e">
        <f>AND(#REF!,"AAAAAH3+YZI=")</f>
        <v>#REF!</v>
      </c>
      <c r="ER41" t="e">
        <f>AND(#REF!,"AAAAAH3+YZM=")</f>
        <v>#REF!</v>
      </c>
      <c r="ES41" t="e">
        <f>AND(#REF!,"AAAAAH3+YZQ=")</f>
        <v>#REF!</v>
      </c>
      <c r="ET41" t="e">
        <f>AND(#REF!,"AAAAAH3+YZU=")</f>
        <v>#REF!</v>
      </c>
      <c r="EU41" t="e">
        <f>AND(#REF!,"AAAAAH3+YZY=")</f>
        <v>#REF!</v>
      </c>
      <c r="EV41" t="e">
        <f>AND(#REF!,"AAAAAH3+YZc=")</f>
        <v>#REF!</v>
      </c>
      <c r="EW41" t="e">
        <f>IF(#REF!,"AAAAAH3+YZg=",0)</f>
        <v>#REF!</v>
      </c>
      <c r="EX41" t="e">
        <f>AND(#REF!,"AAAAAH3+YZk=")</f>
        <v>#REF!</v>
      </c>
      <c r="EY41" t="e">
        <f>AND(#REF!,"AAAAAH3+YZo=")</f>
        <v>#REF!</v>
      </c>
      <c r="EZ41" t="e">
        <f>AND(#REF!,"AAAAAH3+YZs=")</f>
        <v>#REF!</v>
      </c>
      <c r="FA41" t="e">
        <f>AND(#REF!,"AAAAAH3+YZw=")</f>
        <v>#REF!</v>
      </c>
      <c r="FB41" t="e">
        <f>AND(#REF!,"AAAAAH3+YZ0=")</f>
        <v>#REF!</v>
      </c>
      <c r="FC41" t="e">
        <f>AND(#REF!,"AAAAAH3+YZ4=")</f>
        <v>#REF!</v>
      </c>
      <c r="FD41" t="e">
        <f>AND(#REF!,"AAAAAH3+YZ8=")</f>
        <v>#REF!</v>
      </c>
      <c r="FE41" t="e">
        <f>AND(#REF!,"AAAAAH3+YaA=")</f>
        <v>#REF!</v>
      </c>
      <c r="FF41" t="e">
        <f>AND(#REF!,"AAAAAH3+YaE=")</f>
        <v>#REF!</v>
      </c>
      <c r="FG41" t="e">
        <f>AND(#REF!,"AAAAAH3+YaI=")</f>
        <v>#REF!</v>
      </c>
      <c r="FH41" t="e">
        <f>AND(#REF!,"AAAAAH3+YaM=")</f>
        <v>#REF!</v>
      </c>
      <c r="FI41" t="e">
        <f>AND(#REF!,"AAAAAH3+YaQ=")</f>
        <v>#REF!</v>
      </c>
      <c r="FJ41" t="e">
        <f>AND(#REF!,"AAAAAH3+YaU=")</f>
        <v>#REF!</v>
      </c>
      <c r="FK41" t="e">
        <f>AND(#REF!,"AAAAAH3+YaY=")</f>
        <v>#REF!</v>
      </c>
      <c r="FL41" t="e">
        <f>AND(#REF!,"AAAAAH3+Yac=")</f>
        <v>#REF!</v>
      </c>
      <c r="FM41" t="e">
        <f>AND(#REF!,"AAAAAH3+Yag=")</f>
        <v>#REF!</v>
      </c>
      <c r="FN41" t="e">
        <f>AND(#REF!,"AAAAAH3+Yak=")</f>
        <v>#REF!</v>
      </c>
      <c r="FO41" t="e">
        <f>AND(#REF!,"AAAAAH3+Yao=")</f>
        <v>#REF!</v>
      </c>
      <c r="FP41" t="e">
        <f>AND(#REF!,"AAAAAH3+Yas=")</f>
        <v>#REF!</v>
      </c>
      <c r="FQ41" t="e">
        <f>AND(#REF!,"AAAAAH3+Yaw=")</f>
        <v>#REF!</v>
      </c>
      <c r="FR41" t="e">
        <f>AND(#REF!,"AAAAAH3+Ya0=")</f>
        <v>#REF!</v>
      </c>
      <c r="FS41" t="e">
        <f>IF(#REF!,"AAAAAH3+Ya4=",0)</f>
        <v>#REF!</v>
      </c>
      <c r="FT41" t="e">
        <f>AND(#REF!,"AAAAAH3+Ya8=")</f>
        <v>#REF!</v>
      </c>
      <c r="FU41" t="e">
        <f>AND(#REF!,"AAAAAH3+YbA=")</f>
        <v>#REF!</v>
      </c>
      <c r="FV41" t="e">
        <f>AND(#REF!,"AAAAAH3+YbE=")</f>
        <v>#REF!</v>
      </c>
      <c r="FW41" t="e">
        <f>AND(#REF!,"AAAAAH3+YbI=")</f>
        <v>#REF!</v>
      </c>
      <c r="FX41" t="e">
        <f>AND(#REF!,"AAAAAH3+YbM=")</f>
        <v>#REF!</v>
      </c>
      <c r="FY41" t="e">
        <f>AND(#REF!,"AAAAAH3+YbQ=")</f>
        <v>#REF!</v>
      </c>
      <c r="FZ41" t="e">
        <f>AND(#REF!,"AAAAAH3+YbU=")</f>
        <v>#REF!</v>
      </c>
      <c r="GA41" t="e">
        <f>AND(#REF!,"AAAAAH3+YbY=")</f>
        <v>#REF!</v>
      </c>
      <c r="GB41" t="e">
        <f>AND(#REF!,"AAAAAH3+Ybc=")</f>
        <v>#REF!</v>
      </c>
      <c r="GC41" t="e">
        <f>AND(#REF!,"AAAAAH3+Ybg=")</f>
        <v>#REF!</v>
      </c>
      <c r="GD41" t="e">
        <f>AND(#REF!,"AAAAAH3+Ybk=")</f>
        <v>#REF!</v>
      </c>
      <c r="GE41" t="e">
        <f>AND(#REF!,"AAAAAH3+Ybo=")</f>
        <v>#REF!</v>
      </c>
      <c r="GF41" t="e">
        <f>AND(#REF!,"AAAAAH3+Ybs=")</f>
        <v>#REF!</v>
      </c>
      <c r="GG41" t="e">
        <f>AND(#REF!,"AAAAAH3+Ybw=")</f>
        <v>#REF!</v>
      </c>
      <c r="GH41" t="e">
        <f>AND(#REF!,"AAAAAH3+Yb0=")</f>
        <v>#REF!</v>
      </c>
      <c r="GI41" t="e">
        <f>AND(#REF!,"AAAAAH3+Yb4=")</f>
        <v>#REF!</v>
      </c>
      <c r="GJ41" t="e">
        <f>AND(#REF!,"AAAAAH3+Yb8=")</f>
        <v>#REF!</v>
      </c>
      <c r="GK41" t="e">
        <f>AND(#REF!,"AAAAAH3+YcA=")</f>
        <v>#REF!</v>
      </c>
      <c r="GL41" t="e">
        <f>AND(#REF!,"AAAAAH3+YcE=")</f>
        <v>#REF!</v>
      </c>
      <c r="GM41" t="e">
        <f>AND(#REF!,"AAAAAH3+YcI=")</f>
        <v>#REF!</v>
      </c>
      <c r="GN41" t="e">
        <f>AND(#REF!,"AAAAAH3+YcM=")</f>
        <v>#REF!</v>
      </c>
      <c r="GO41" t="e">
        <f>IF(#REF!,"AAAAAH3+YcQ=",0)</f>
        <v>#REF!</v>
      </c>
      <c r="GP41" t="e">
        <f>AND(#REF!,"AAAAAH3+YcU=")</f>
        <v>#REF!</v>
      </c>
      <c r="GQ41" t="e">
        <f>AND(#REF!,"AAAAAH3+YcY=")</f>
        <v>#REF!</v>
      </c>
      <c r="GR41" t="e">
        <f>AND(#REF!,"AAAAAH3+Ycc=")</f>
        <v>#REF!</v>
      </c>
      <c r="GS41" t="e">
        <f>AND(#REF!,"AAAAAH3+Ycg=")</f>
        <v>#REF!</v>
      </c>
      <c r="GT41" t="e">
        <f>AND(#REF!,"AAAAAH3+Yck=")</f>
        <v>#REF!</v>
      </c>
      <c r="GU41" t="e">
        <f>AND(#REF!,"AAAAAH3+Yco=")</f>
        <v>#REF!</v>
      </c>
      <c r="GV41" t="e">
        <f>AND(#REF!,"AAAAAH3+Ycs=")</f>
        <v>#REF!</v>
      </c>
      <c r="GW41" t="e">
        <f>AND(#REF!,"AAAAAH3+Ycw=")</f>
        <v>#REF!</v>
      </c>
      <c r="GX41" t="e">
        <f>AND(#REF!,"AAAAAH3+Yc0=")</f>
        <v>#REF!</v>
      </c>
      <c r="GY41" t="e">
        <f>AND(#REF!,"AAAAAH3+Yc4=")</f>
        <v>#REF!</v>
      </c>
      <c r="GZ41" t="e">
        <f>AND(#REF!,"AAAAAH3+Yc8=")</f>
        <v>#REF!</v>
      </c>
      <c r="HA41" t="e">
        <f>AND(#REF!,"AAAAAH3+YdA=")</f>
        <v>#REF!</v>
      </c>
      <c r="HB41" t="e">
        <f>AND(#REF!,"AAAAAH3+YdE=")</f>
        <v>#REF!</v>
      </c>
      <c r="HC41" t="e">
        <f>AND(#REF!,"AAAAAH3+YdI=")</f>
        <v>#REF!</v>
      </c>
      <c r="HD41" t="e">
        <f>AND(#REF!,"AAAAAH3+YdM=")</f>
        <v>#REF!</v>
      </c>
      <c r="HE41" t="e">
        <f>AND(#REF!,"AAAAAH3+YdQ=")</f>
        <v>#REF!</v>
      </c>
      <c r="HF41" t="e">
        <f>AND(#REF!,"AAAAAH3+YdU=")</f>
        <v>#REF!</v>
      </c>
      <c r="HG41" t="e">
        <f>AND(#REF!,"AAAAAH3+YdY=")</f>
        <v>#REF!</v>
      </c>
      <c r="HH41" t="e">
        <f>AND(#REF!,"AAAAAH3+Ydc=")</f>
        <v>#REF!</v>
      </c>
      <c r="HI41" t="e">
        <f>AND(#REF!,"AAAAAH3+Ydg=")</f>
        <v>#REF!</v>
      </c>
      <c r="HJ41" t="e">
        <f>AND(#REF!,"AAAAAH3+Ydk=")</f>
        <v>#REF!</v>
      </c>
      <c r="HK41" t="e">
        <f>IF(#REF!,"AAAAAH3+Ydo=",0)</f>
        <v>#REF!</v>
      </c>
      <c r="HL41" t="e">
        <f>AND(#REF!,"AAAAAH3+Yds=")</f>
        <v>#REF!</v>
      </c>
      <c r="HM41" t="e">
        <f>AND(#REF!,"AAAAAH3+Ydw=")</f>
        <v>#REF!</v>
      </c>
      <c r="HN41" t="e">
        <f>AND(#REF!,"AAAAAH3+Yd0=")</f>
        <v>#REF!</v>
      </c>
      <c r="HO41" t="e">
        <f>AND(#REF!,"AAAAAH3+Yd4=")</f>
        <v>#REF!</v>
      </c>
      <c r="HP41" t="e">
        <f>AND(#REF!,"AAAAAH3+Yd8=")</f>
        <v>#REF!</v>
      </c>
      <c r="HQ41" t="e">
        <f>AND(#REF!,"AAAAAH3+YeA=")</f>
        <v>#REF!</v>
      </c>
      <c r="HR41" t="e">
        <f>AND(#REF!,"AAAAAH3+YeE=")</f>
        <v>#REF!</v>
      </c>
      <c r="HS41" t="e">
        <f>AND(#REF!,"AAAAAH3+YeI=")</f>
        <v>#REF!</v>
      </c>
      <c r="HT41" t="e">
        <f>AND(#REF!,"AAAAAH3+YeM=")</f>
        <v>#REF!</v>
      </c>
      <c r="HU41" t="e">
        <f>AND(#REF!,"AAAAAH3+YeQ=")</f>
        <v>#REF!</v>
      </c>
      <c r="HV41" t="e">
        <f>AND(#REF!,"AAAAAH3+YeU=")</f>
        <v>#REF!</v>
      </c>
      <c r="HW41" t="e">
        <f>AND(#REF!,"AAAAAH3+YeY=")</f>
        <v>#REF!</v>
      </c>
      <c r="HX41" t="e">
        <f>AND(#REF!,"AAAAAH3+Yec=")</f>
        <v>#REF!</v>
      </c>
      <c r="HY41" t="e">
        <f>AND(#REF!,"AAAAAH3+Yeg=")</f>
        <v>#REF!</v>
      </c>
      <c r="HZ41" t="e">
        <f>AND(#REF!,"AAAAAH3+Yek=")</f>
        <v>#REF!</v>
      </c>
      <c r="IA41" t="e">
        <f>AND(#REF!,"AAAAAH3+Yeo=")</f>
        <v>#REF!</v>
      </c>
      <c r="IB41" t="e">
        <f>AND(#REF!,"AAAAAH3+Yes=")</f>
        <v>#REF!</v>
      </c>
      <c r="IC41" t="e">
        <f>AND(#REF!,"AAAAAH3+Yew=")</f>
        <v>#REF!</v>
      </c>
      <c r="ID41" t="e">
        <f>AND(#REF!,"AAAAAH3+Ye0=")</f>
        <v>#REF!</v>
      </c>
      <c r="IE41" t="e">
        <f>AND(#REF!,"AAAAAH3+Ye4=")</f>
        <v>#REF!</v>
      </c>
      <c r="IF41" t="e">
        <f>AND(#REF!,"AAAAAH3+Ye8=")</f>
        <v>#REF!</v>
      </c>
      <c r="IG41" t="e">
        <f>IF(#REF!,"AAAAAH3+YfA=",0)</f>
        <v>#REF!</v>
      </c>
      <c r="IH41" t="e">
        <f>IF(#REF!,"AAAAAH3+YfE=",0)</f>
        <v>#REF!</v>
      </c>
      <c r="II41" t="e">
        <f>IF(#REF!,"AAAAAH3+YfI=",0)</f>
        <v>#REF!</v>
      </c>
      <c r="IJ41" t="e">
        <f>IF(#REF!,"AAAAAH3+YfM=",0)</f>
        <v>#REF!</v>
      </c>
      <c r="IK41" t="e">
        <f>IF(#REF!,"AAAAAH3+YfQ=",0)</f>
        <v>#REF!</v>
      </c>
      <c r="IL41" t="e">
        <f>IF(#REF!,"AAAAAH3+YfU=",0)</f>
        <v>#REF!</v>
      </c>
      <c r="IM41" t="e">
        <f>IF(#REF!,"AAAAAH3+YfY=",0)</f>
        <v>#REF!</v>
      </c>
      <c r="IN41" t="e">
        <f>IF(#REF!,"AAAAAH3+Yfc=",0)</f>
        <v>#REF!</v>
      </c>
      <c r="IO41" t="e">
        <f>IF(#REF!,"AAAAAH3+Yfg=",0)</f>
        <v>#REF!</v>
      </c>
      <c r="IP41" t="e">
        <f>IF(#REF!,"AAAAAH3+Yfk=",0)</f>
        <v>#REF!</v>
      </c>
      <c r="IQ41" t="e">
        <f>IF(#REF!,"AAAAAH3+Yfo=",0)</f>
        <v>#REF!</v>
      </c>
      <c r="IR41" t="e">
        <f>IF(#REF!,"AAAAAH3+Yfs=",0)</f>
        <v>#REF!</v>
      </c>
      <c r="IS41" t="e">
        <f>IF(#REF!,"AAAAAH3+Yfw=",0)</f>
        <v>#REF!</v>
      </c>
      <c r="IT41" t="e">
        <f>IF(#REF!,"AAAAAH3+Yf0=",0)</f>
        <v>#REF!</v>
      </c>
      <c r="IU41" t="e">
        <f>IF(#REF!,"AAAAAH3+Yf4=",0)</f>
        <v>#REF!</v>
      </c>
      <c r="IV41" t="e">
        <f>IF(#REF!,"AAAAAH3+Yf8=",0)</f>
        <v>#REF!</v>
      </c>
    </row>
    <row r="42" spans="1:256">
      <c r="A42" t="e">
        <f>IF(#REF!,"AAAAAH3u/QA=",0)</f>
        <v>#REF!</v>
      </c>
      <c r="B42" t="e">
        <f>IF(#REF!,"AAAAAH3u/QE=",0)</f>
        <v>#REF!</v>
      </c>
      <c r="C42" t="e">
        <f>IF(#REF!,"AAAAAH3u/QI=",0)</f>
        <v>#REF!</v>
      </c>
      <c r="D42" t="e">
        <f>IF(#REF!,"AAAAAH3u/QM=",0)</f>
        <v>#REF!</v>
      </c>
      <c r="E42" t="e">
        <f>IF(#REF!,"AAAAAH3u/QQ=",0)</f>
        <v>#REF!</v>
      </c>
      <c r="F42" t="e">
        <f>IF(#REF!,"AAAAAH3u/QU=",0)</f>
        <v>#REF!</v>
      </c>
      <c r="G42" t="e">
        <f>IF(#REF!,"AAAAAH3u/QY=",0)</f>
        <v>#REF!</v>
      </c>
      <c r="H42" t="e">
        <f>IF(#REF!,"AAAAAH3u/Qc=",0)</f>
        <v>#REF!</v>
      </c>
      <c r="I42" t="e">
        <f>IF(#REF!,"AAAAAH3u/Qg=",0)</f>
        <v>#REF!</v>
      </c>
      <c r="J42" t="e">
        <f>IF(#REF!,"AAAAAH3u/Qk=",0)</f>
        <v>#REF!</v>
      </c>
      <c r="K42" t="e">
        <f>IF(#REF!,"AAAAAH3u/Qo=",0)</f>
        <v>#REF!</v>
      </c>
      <c r="L42" t="e">
        <f>IF(#REF!,"AAAAAH3u/Qs=",0)</f>
        <v>#REF!</v>
      </c>
      <c r="M42" t="e">
        <f>IF(#REF!,"AAAAAH3u/Qw=",0)</f>
        <v>#REF!</v>
      </c>
      <c r="N42" t="e">
        <f>IF(#REF!,"AAAAAH3u/Q0=",0)</f>
        <v>#REF!</v>
      </c>
      <c r="O42" t="e">
        <f>IF(#REF!,"AAAAAH3u/Q4=",0)</f>
        <v>#REF!</v>
      </c>
      <c r="P42" t="e">
        <f>IF(#REF!,"AAAAAH3u/Q8=",0)</f>
        <v>#REF!</v>
      </c>
      <c r="Q42" t="e">
        <f>IF(#REF!,"AAAAAH3u/RA=",0)</f>
        <v>#REF!</v>
      </c>
      <c r="R42" t="e">
        <f>IF(#REF!,"AAAAAH3u/RE=",0)</f>
        <v>#REF!</v>
      </c>
      <c r="S42" t="e">
        <f>IF(#REF!,"AAAAAH3u/RI=",0)</f>
        <v>#REF!</v>
      </c>
      <c r="T42" t="e">
        <f>IF(#REF!,"AAAAAH3u/RM=",0)</f>
        <v>#REF!</v>
      </c>
      <c r="U42" t="e">
        <f>IF(#REF!,"AAAAAH3u/RQ=",0)</f>
        <v>#REF!</v>
      </c>
      <c r="V42" t="e">
        <f>IF(#REF!,"AAAAAH3u/RU=",0)</f>
        <v>#REF!</v>
      </c>
      <c r="W42" t="e">
        <f>IF(#REF!,"AAAAAH3u/RY=",0)</f>
        <v>#REF!</v>
      </c>
      <c r="X42" t="e">
        <f>AND(#REF!,"AAAAAH3u/Rc=")</f>
        <v>#REF!</v>
      </c>
      <c r="Y42" t="e">
        <f>AND(#REF!,"AAAAAH3u/Rg=")</f>
        <v>#REF!</v>
      </c>
      <c r="Z42" t="e">
        <f>AND(#REF!,"AAAAAH3u/Rk=")</f>
        <v>#REF!</v>
      </c>
      <c r="AA42" t="e">
        <f>AND(#REF!,"AAAAAH3u/Ro=")</f>
        <v>#REF!</v>
      </c>
      <c r="AB42" t="e">
        <f>AND(#REF!,"AAAAAH3u/Rs=")</f>
        <v>#REF!</v>
      </c>
      <c r="AC42" t="e">
        <f>AND(#REF!,"AAAAAH3u/Rw=")</f>
        <v>#REF!</v>
      </c>
      <c r="AD42" t="e">
        <f>AND(#REF!,"AAAAAH3u/R0=")</f>
        <v>#REF!</v>
      </c>
      <c r="AE42" t="e">
        <f>AND(#REF!,"AAAAAH3u/R4=")</f>
        <v>#REF!</v>
      </c>
      <c r="AF42" t="e">
        <f>AND(#REF!,"AAAAAH3u/R8=")</f>
        <v>#REF!</v>
      </c>
      <c r="AG42" t="e">
        <f>AND(#REF!,"AAAAAH3u/SA=")</f>
        <v>#REF!</v>
      </c>
      <c r="AH42" t="e">
        <f>AND(#REF!,"AAAAAH3u/SE=")</f>
        <v>#REF!</v>
      </c>
      <c r="AI42" t="e">
        <f>AND(#REF!,"AAAAAH3u/SI=")</f>
        <v>#REF!</v>
      </c>
      <c r="AJ42" t="e">
        <f>AND(#REF!,"AAAAAH3u/SM=")</f>
        <v>#REF!</v>
      </c>
      <c r="AK42" t="e">
        <f>AND(#REF!,"AAAAAH3u/SQ=")</f>
        <v>#REF!</v>
      </c>
      <c r="AL42" t="e">
        <f>AND(#REF!,"AAAAAH3u/SU=")</f>
        <v>#REF!</v>
      </c>
      <c r="AM42" t="e">
        <f>AND(#REF!,"AAAAAH3u/SY=")</f>
        <v>#REF!</v>
      </c>
      <c r="AN42" t="e">
        <f>AND(#REF!,"AAAAAH3u/Sc=")</f>
        <v>#REF!</v>
      </c>
      <c r="AO42" t="e">
        <f>AND(#REF!,"AAAAAH3u/Sg=")</f>
        <v>#REF!</v>
      </c>
      <c r="AP42" t="e">
        <f>AND(#REF!,"AAAAAH3u/Sk=")</f>
        <v>#REF!</v>
      </c>
      <c r="AQ42" t="e">
        <f>AND(#REF!,"AAAAAH3u/So=")</f>
        <v>#REF!</v>
      </c>
      <c r="AR42" t="e">
        <f>AND(#REF!,"AAAAAH3u/Ss=")</f>
        <v>#REF!</v>
      </c>
      <c r="AS42" t="e">
        <f>AND(#REF!,"AAAAAH3u/Sw=")</f>
        <v>#REF!</v>
      </c>
      <c r="AT42" t="e">
        <f>AND(#REF!,"AAAAAH3u/S0=")</f>
        <v>#REF!</v>
      </c>
      <c r="AU42" t="e">
        <f>AND(#REF!,"AAAAAH3u/S4=")</f>
        <v>#REF!</v>
      </c>
      <c r="AV42" t="e">
        <f>AND(#REF!,"AAAAAH3u/S8=")</f>
        <v>#REF!</v>
      </c>
      <c r="AW42" t="e">
        <f>AND(#REF!,"AAAAAH3u/TA=")</f>
        <v>#REF!</v>
      </c>
      <c r="AX42" t="e">
        <f>AND(#REF!,"AAAAAH3u/TE=")</f>
        <v>#REF!</v>
      </c>
      <c r="AY42" t="e">
        <f>AND(#REF!,"AAAAAH3u/TI=")</f>
        <v>#REF!</v>
      </c>
      <c r="AZ42" t="e">
        <f>AND(#REF!,"AAAAAH3u/TM=")</f>
        <v>#REF!</v>
      </c>
      <c r="BA42" t="e">
        <f>AND(#REF!,"AAAAAH3u/TQ=")</f>
        <v>#REF!</v>
      </c>
      <c r="BB42" t="e">
        <f>AND(#REF!,"AAAAAH3u/TU=")</f>
        <v>#REF!</v>
      </c>
      <c r="BC42" t="e">
        <f>AND(#REF!,"AAAAAH3u/TY=")</f>
        <v>#REF!</v>
      </c>
      <c r="BD42" t="e">
        <f>AND(#REF!,"AAAAAH3u/Tc=")</f>
        <v>#REF!</v>
      </c>
      <c r="BE42" t="e">
        <f>AND(#REF!,"AAAAAH3u/Tg=")</f>
        <v>#REF!</v>
      </c>
      <c r="BF42" t="e">
        <f>AND(#REF!,"AAAAAH3u/Tk=")</f>
        <v>#REF!</v>
      </c>
      <c r="BG42" t="e">
        <f>AND(#REF!,"AAAAAH3u/To=")</f>
        <v>#REF!</v>
      </c>
      <c r="BH42" t="e">
        <f>AND(#REF!,"AAAAAH3u/Ts=")</f>
        <v>#REF!</v>
      </c>
      <c r="BI42" t="e">
        <f>AND(#REF!,"AAAAAH3u/Tw=")</f>
        <v>#REF!</v>
      </c>
      <c r="BJ42" t="e">
        <f>AND(#REF!,"AAAAAH3u/T0=")</f>
        <v>#REF!</v>
      </c>
      <c r="BK42" t="e">
        <f>AND(#REF!,"AAAAAH3u/T4=")</f>
        <v>#REF!</v>
      </c>
      <c r="BL42" t="e">
        <f>AND(#REF!,"AAAAAH3u/T8=")</f>
        <v>#REF!</v>
      </c>
      <c r="BM42" t="e">
        <f>AND(#REF!,"AAAAAH3u/UA=")</f>
        <v>#REF!</v>
      </c>
      <c r="BN42" t="e">
        <f>AND(#REF!,"AAAAAH3u/UE=")</f>
        <v>#REF!</v>
      </c>
      <c r="BO42" t="e">
        <f>AND(#REF!,"AAAAAH3u/UI=")</f>
        <v>#REF!</v>
      </c>
      <c r="BP42" t="e">
        <f>AND(#REF!,"AAAAAH3u/UM=")</f>
        <v>#REF!</v>
      </c>
      <c r="BQ42" t="e">
        <f>AND(#REF!,"AAAAAH3u/UQ=")</f>
        <v>#REF!</v>
      </c>
      <c r="BR42" t="e">
        <f>AND(#REF!,"AAAAAH3u/UU=")</f>
        <v>#REF!</v>
      </c>
      <c r="BS42" t="e">
        <f>AND(#REF!,"AAAAAH3u/UY=")</f>
        <v>#REF!</v>
      </c>
      <c r="BT42" t="e">
        <f>AND(#REF!,"AAAAAH3u/Uc=")</f>
        <v>#REF!</v>
      </c>
      <c r="BU42" t="e">
        <f>AND(#REF!,"AAAAAH3u/Ug=")</f>
        <v>#REF!</v>
      </c>
      <c r="BV42" t="e">
        <f>AND(#REF!,"AAAAAH3u/Uk=")</f>
        <v>#REF!</v>
      </c>
      <c r="BW42" t="e">
        <f>AND(#REF!,"AAAAAH3u/Uo=")</f>
        <v>#REF!</v>
      </c>
      <c r="BX42" t="e">
        <f>AND(#REF!,"AAAAAH3u/Us=")</f>
        <v>#REF!</v>
      </c>
      <c r="BY42" t="e">
        <f>AND(#REF!,"AAAAAH3u/Uw=")</f>
        <v>#REF!</v>
      </c>
      <c r="BZ42" t="e">
        <f>AND(#REF!,"AAAAAH3u/U0=")</f>
        <v>#REF!</v>
      </c>
      <c r="CA42" t="e">
        <f>AND(#REF!,"AAAAAH3u/U4=")</f>
        <v>#REF!</v>
      </c>
      <c r="CB42" t="e">
        <f>AND(#REF!,"AAAAAH3u/U8=")</f>
        <v>#REF!</v>
      </c>
      <c r="CC42" t="e">
        <f>AND(#REF!,"AAAAAH3u/VA=")</f>
        <v>#REF!</v>
      </c>
      <c r="CD42" t="e">
        <f>AND(#REF!,"AAAAAH3u/VE=")</f>
        <v>#REF!</v>
      </c>
      <c r="CE42" t="e">
        <f>AND(#REF!,"AAAAAH3u/VI=")</f>
        <v>#REF!</v>
      </c>
      <c r="CF42" t="e">
        <f>AND(#REF!,"AAAAAH3u/VM=")</f>
        <v>#REF!</v>
      </c>
      <c r="CG42" t="e">
        <f>AND(#REF!,"AAAAAH3u/VQ=")</f>
        <v>#REF!</v>
      </c>
      <c r="CH42" t="e">
        <f>AND(#REF!,"AAAAAH3u/VU=")</f>
        <v>#REF!</v>
      </c>
      <c r="CI42" t="e">
        <f>IF(#REF!,"AAAAAH3u/VY=",0)</f>
        <v>#REF!</v>
      </c>
      <c r="CJ42" t="e">
        <f>IF(#REF!,"AAAAAH3u/Vc=",0)</f>
        <v>#REF!</v>
      </c>
      <c r="CK42" t="e">
        <f>IF(#REF!,"AAAAAH3u/Vg=",0)</f>
        <v>#REF!</v>
      </c>
      <c r="CL42" t="e">
        <f>AND(#REF!,"AAAAAH3u/Vk=")</f>
        <v>#REF!</v>
      </c>
      <c r="CM42" t="e">
        <f>AND(#REF!,"AAAAAH3u/Vo=")</f>
        <v>#REF!</v>
      </c>
      <c r="CN42" t="e">
        <f>AND(#REF!,"AAAAAH3u/Vs=")</f>
        <v>#REF!</v>
      </c>
      <c r="CO42" t="e">
        <f>AND(#REF!,"AAAAAH3u/Vw=")</f>
        <v>#REF!</v>
      </c>
      <c r="CP42" t="e">
        <f>AND(#REF!,"AAAAAH3u/V0=")</f>
        <v>#REF!</v>
      </c>
      <c r="CQ42" t="e">
        <f>AND(#REF!,"AAAAAH3u/V4=")</f>
        <v>#REF!</v>
      </c>
      <c r="CR42" t="e">
        <f>AND(#REF!,"AAAAAH3u/V8=")</f>
        <v>#REF!</v>
      </c>
      <c r="CS42" t="e">
        <f>AND(#REF!,"AAAAAH3u/WA=")</f>
        <v>#REF!</v>
      </c>
      <c r="CT42" t="e">
        <f>AND(#REF!,"AAAAAH3u/WE=")</f>
        <v>#REF!</v>
      </c>
      <c r="CU42" t="e">
        <f>AND(#REF!,"AAAAAH3u/WI=")</f>
        <v>#REF!</v>
      </c>
      <c r="CV42" t="e">
        <f>AND(#REF!,"AAAAAH3u/WM=")</f>
        <v>#REF!</v>
      </c>
      <c r="CW42" t="e">
        <f>AND(#REF!,"AAAAAH3u/WQ=")</f>
        <v>#REF!</v>
      </c>
      <c r="CX42" t="e">
        <f>AND(#REF!,"AAAAAH3u/WU=")</f>
        <v>#REF!</v>
      </c>
      <c r="CY42" t="e">
        <f>AND(#REF!,"AAAAAH3u/WY=")</f>
        <v>#REF!</v>
      </c>
      <c r="CZ42" t="e">
        <f>IF(#REF!,"AAAAAH3u/Wc=",0)</f>
        <v>#REF!</v>
      </c>
      <c r="DA42" t="e">
        <f>AND(#REF!,"AAAAAH3u/Wg=")</f>
        <v>#REF!</v>
      </c>
      <c r="DB42" t="e">
        <f>AND(#REF!,"AAAAAH3u/Wk=")</f>
        <v>#REF!</v>
      </c>
      <c r="DC42" t="e">
        <f>AND(#REF!,"AAAAAH3u/Wo=")</f>
        <v>#REF!</v>
      </c>
      <c r="DD42" t="e">
        <f>AND(#REF!,"AAAAAH3u/Ws=")</f>
        <v>#REF!</v>
      </c>
      <c r="DE42" t="e">
        <f>AND(#REF!,"AAAAAH3u/Ww=")</f>
        <v>#REF!</v>
      </c>
      <c r="DF42" t="e">
        <f>AND(#REF!,"AAAAAH3u/W0=")</f>
        <v>#REF!</v>
      </c>
      <c r="DG42" t="e">
        <f>AND(#REF!,"AAAAAH3u/W4=")</f>
        <v>#REF!</v>
      </c>
      <c r="DH42" t="e">
        <f>AND(#REF!,"AAAAAH3u/W8=")</f>
        <v>#REF!</v>
      </c>
      <c r="DI42" t="e">
        <f>AND(#REF!,"AAAAAH3u/XA=")</f>
        <v>#REF!</v>
      </c>
      <c r="DJ42" t="e">
        <f>AND(#REF!,"AAAAAH3u/XE=")</f>
        <v>#REF!</v>
      </c>
      <c r="DK42" t="e">
        <f>AND(#REF!,"AAAAAH3u/XI=")</f>
        <v>#REF!</v>
      </c>
      <c r="DL42" t="e">
        <f>AND(#REF!,"AAAAAH3u/XM=")</f>
        <v>#REF!</v>
      </c>
      <c r="DM42" t="e">
        <f>AND(#REF!,"AAAAAH3u/XQ=")</f>
        <v>#REF!</v>
      </c>
      <c r="DN42" t="e">
        <f>AND(#REF!,"AAAAAH3u/XU=")</f>
        <v>#REF!</v>
      </c>
      <c r="DO42" t="e">
        <f>IF(#REF!,"AAAAAH3u/XY=",0)</f>
        <v>#REF!</v>
      </c>
      <c r="DP42" t="e">
        <f>AND(#REF!,"AAAAAH3u/Xc=")</f>
        <v>#REF!</v>
      </c>
      <c r="DQ42" t="e">
        <f>AND(#REF!,"AAAAAH3u/Xg=")</f>
        <v>#REF!</v>
      </c>
      <c r="DR42" t="e">
        <f>AND(#REF!,"AAAAAH3u/Xk=")</f>
        <v>#REF!</v>
      </c>
      <c r="DS42" t="e">
        <f>AND(#REF!,"AAAAAH3u/Xo=")</f>
        <v>#REF!</v>
      </c>
      <c r="DT42" t="e">
        <f>AND(#REF!,"AAAAAH3u/Xs=")</f>
        <v>#REF!</v>
      </c>
      <c r="DU42" t="e">
        <f>AND(#REF!,"AAAAAH3u/Xw=")</f>
        <v>#REF!</v>
      </c>
      <c r="DV42" t="e">
        <f>AND(#REF!,"AAAAAH3u/X0=")</f>
        <v>#REF!</v>
      </c>
      <c r="DW42" t="e">
        <f>AND(#REF!,"AAAAAH3u/X4=")</f>
        <v>#REF!</v>
      </c>
      <c r="DX42" t="e">
        <f>AND(#REF!,"AAAAAH3u/X8=")</f>
        <v>#REF!</v>
      </c>
      <c r="DY42" t="e">
        <f>AND(#REF!,"AAAAAH3u/YA=")</f>
        <v>#REF!</v>
      </c>
      <c r="DZ42" t="e">
        <f>AND(#REF!,"AAAAAH3u/YE=")</f>
        <v>#REF!</v>
      </c>
      <c r="EA42" t="e">
        <f>AND(#REF!,"AAAAAH3u/YI=")</f>
        <v>#REF!</v>
      </c>
      <c r="EB42" t="e">
        <f>AND(#REF!,"AAAAAH3u/YM=")</f>
        <v>#REF!</v>
      </c>
      <c r="EC42" t="e">
        <f>AND(#REF!,"AAAAAH3u/YQ=")</f>
        <v>#REF!</v>
      </c>
      <c r="ED42" t="e">
        <f>IF(#REF!,"AAAAAH3u/YU=",0)</f>
        <v>#REF!</v>
      </c>
      <c r="EE42" t="e">
        <f>AND(#REF!,"AAAAAH3u/YY=")</f>
        <v>#REF!</v>
      </c>
      <c r="EF42" t="e">
        <f>AND(#REF!,"AAAAAH3u/Yc=")</f>
        <v>#REF!</v>
      </c>
      <c r="EG42" t="e">
        <f>AND(#REF!,"AAAAAH3u/Yg=")</f>
        <v>#REF!</v>
      </c>
      <c r="EH42" t="e">
        <f>AND(#REF!,"AAAAAH3u/Yk=")</f>
        <v>#REF!</v>
      </c>
      <c r="EI42" t="e">
        <f>AND(#REF!,"AAAAAH3u/Yo=")</f>
        <v>#REF!</v>
      </c>
      <c r="EJ42" t="e">
        <f>AND(#REF!,"AAAAAH3u/Ys=")</f>
        <v>#REF!</v>
      </c>
      <c r="EK42" t="e">
        <f>AND(#REF!,"AAAAAH3u/Yw=")</f>
        <v>#REF!</v>
      </c>
      <c r="EL42" t="e">
        <f>AND(#REF!,"AAAAAH3u/Y0=")</f>
        <v>#REF!</v>
      </c>
      <c r="EM42" t="e">
        <f>AND(#REF!,"AAAAAH3u/Y4=")</f>
        <v>#REF!</v>
      </c>
      <c r="EN42" t="e">
        <f>AND(#REF!,"AAAAAH3u/Y8=")</f>
        <v>#REF!</v>
      </c>
      <c r="EO42" t="e">
        <f>AND(#REF!,"AAAAAH3u/ZA=")</f>
        <v>#REF!</v>
      </c>
      <c r="EP42" t="e">
        <f>AND(#REF!,"AAAAAH3u/ZE=")</f>
        <v>#REF!</v>
      </c>
      <c r="EQ42" t="e">
        <f>AND(#REF!,"AAAAAH3u/ZI=")</f>
        <v>#REF!</v>
      </c>
      <c r="ER42" t="e">
        <f>AND(#REF!,"AAAAAH3u/ZM=")</f>
        <v>#REF!</v>
      </c>
      <c r="ES42" t="e">
        <f>IF(#REF!,"AAAAAH3u/ZQ=",0)</f>
        <v>#REF!</v>
      </c>
      <c r="ET42" t="e">
        <f>AND(#REF!,"AAAAAH3u/ZU=")</f>
        <v>#REF!</v>
      </c>
      <c r="EU42" t="e">
        <f>AND(#REF!,"AAAAAH3u/ZY=")</f>
        <v>#REF!</v>
      </c>
      <c r="EV42" t="e">
        <f>AND(#REF!,"AAAAAH3u/Zc=")</f>
        <v>#REF!</v>
      </c>
      <c r="EW42" t="e">
        <f>AND(#REF!,"AAAAAH3u/Zg=")</f>
        <v>#REF!</v>
      </c>
      <c r="EX42" t="e">
        <f>AND(#REF!,"AAAAAH3u/Zk=")</f>
        <v>#REF!</v>
      </c>
      <c r="EY42" t="e">
        <f>AND(#REF!,"AAAAAH3u/Zo=")</f>
        <v>#REF!</v>
      </c>
      <c r="EZ42" t="e">
        <f>AND(#REF!,"AAAAAH3u/Zs=")</f>
        <v>#REF!</v>
      </c>
      <c r="FA42" t="e">
        <f>AND(#REF!,"AAAAAH3u/Zw=")</f>
        <v>#REF!</v>
      </c>
      <c r="FB42" t="e">
        <f>AND(#REF!,"AAAAAH3u/Z0=")</f>
        <v>#REF!</v>
      </c>
      <c r="FC42" t="e">
        <f>AND(#REF!,"AAAAAH3u/Z4=")</f>
        <v>#REF!</v>
      </c>
      <c r="FD42" t="e">
        <f>AND(#REF!,"AAAAAH3u/Z8=")</f>
        <v>#REF!</v>
      </c>
      <c r="FE42" t="e">
        <f>AND(#REF!,"AAAAAH3u/aA=")</f>
        <v>#REF!</v>
      </c>
      <c r="FF42" t="e">
        <f>AND(#REF!,"AAAAAH3u/aE=")</f>
        <v>#REF!</v>
      </c>
      <c r="FG42" t="e">
        <f>AND(#REF!,"AAAAAH3u/aI=")</f>
        <v>#REF!</v>
      </c>
      <c r="FH42" t="e">
        <f>IF(#REF!,"AAAAAH3u/aM=",0)</f>
        <v>#REF!</v>
      </c>
      <c r="FI42" t="e">
        <f>AND(#REF!,"AAAAAH3u/aQ=")</f>
        <v>#REF!</v>
      </c>
      <c r="FJ42" t="e">
        <f>AND(#REF!,"AAAAAH3u/aU=")</f>
        <v>#REF!</v>
      </c>
      <c r="FK42" t="e">
        <f>AND(#REF!,"AAAAAH3u/aY=")</f>
        <v>#REF!</v>
      </c>
      <c r="FL42" t="e">
        <f>AND(#REF!,"AAAAAH3u/ac=")</f>
        <v>#REF!</v>
      </c>
      <c r="FM42" t="e">
        <f>AND(#REF!,"AAAAAH3u/ag=")</f>
        <v>#REF!</v>
      </c>
      <c r="FN42" t="e">
        <f>AND(#REF!,"AAAAAH3u/ak=")</f>
        <v>#REF!</v>
      </c>
      <c r="FO42" t="e">
        <f>AND(#REF!,"AAAAAH3u/ao=")</f>
        <v>#REF!</v>
      </c>
      <c r="FP42" t="e">
        <f>AND(#REF!,"AAAAAH3u/as=")</f>
        <v>#REF!</v>
      </c>
      <c r="FQ42" t="e">
        <f>AND(#REF!,"AAAAAH3u/aw=")</f>
        <v>#REF!</v>
      </c>
      <c r="FR42" t="e">
        <f>AND(#REF!,"AAAAAH3u/a0=")</f>
        <v>#REF!</v>
      </c>
      <c r="FS42" t="e">
        <f>AND(#REF!,"AAAAAH3u/a4=")</f>
        <v>#REF!</v>
      </c>
      <c r="FT42" t="e">
        <f>AND(#REF!,"AAAAAH3u/a8=")</f>
        <v>#REF!</v>
      </c>
      <c r="FU42" t="e">
        <f>AND(#REF!,"AAAAAH3u/bA=")</f>
        <v>#REF!</v>
      </c>
      <c r="FV42" t="e">
        <f>AND(#REF!,"AAAAAH3u/bE=")</f>
        <v>#REF!</v>
      </c>
      <c r="FW42" t="e">
        <f>IF(#REF!,"AAAAAH3u/bI=",0)</f>
        <v>#REF!</v>
      </c>
      <c r="FX42" t="e">
        <f>AND(#REF!,"AAAAAH3u/bM=")</f>
        <v>#REF!</v>
      </c>
      <c r="FY42" t="e">
        <f>AND(#REF!,"AAAAAH3u/bQ=")</f>
        <v>#REF!</v>
      </c>
      <c r="FZ42" t="e">
        <f>AND(#REF!,"AAAAAH3u/bU=")</f>
        <v>#REF!</v>
      </c>
      <c r="GA42" t="e">
        <f>AND(#REF!,"AAAAAH3u/bY=")</f>
        <v>#REF!</v>
      </c>
      <c r="GB42" t="e">
        <f>AND(#REF!,"AAAAAH3u/bc=")</f>
        <v>#REF!</v>
      </c>
      <c r="GC42" t="e">
        <f>AND(#REF!,"AAAAAH3u/bg=")</f>
        <v>#REF!</v>
      </c>
      <c r="GD42" t="e">
        <f>AND(#REF!,"AAAAAH3u/bk=")</f>
        <v>#REF!</v>
      </c>
      <c r="GE42" t="e">
        <f>AND(#REF!,"AAAAAH3u/bo=")</f>
        <v>#REF!</v>
      </c>
      <c r="GF42" t="e">
        <f>AND(#REF!,"AAAAAH3u/bs=")</f>
        <v>#REF!</v>
      </c>
      <c r="GG42" t="e">
        <f>AND(#REF!,"AAAAAH3u/bw=")</f>
        <v>#REF!</v>
      </c>
      <c r="GH42" t="e">
        <f>AND(#REF!,"AAAAAH3u/b0=")</f>
        <v>#REF!</v>
      </c>
      <c r="GI42" t="e">
        <f>AND(#REF!,"AAAAAH3u/b4=")</f>
        <v>#REF!</v>
      </c>
      <c r="GJ42" t="e">
        <f>AND(#REF!,"AAAAAH3u/b8=")</f>
        <v>#REF!</v>
      </c>
      <c r="GK42" t="e">
        <f>AND(#REF!,"AAAAAH3u/cA=")</f>
        <v>#REF!</v>
      </c>
      <c r="GL42" t="e">
        <f>IF(#REF!,"AAAAAH3u/cE=",0)</f>
        <v>#REF!</v>
      </c>
      <c r="GM42" t="e">
        <f>AND(#REF!,"AAAAAH3u/cI=")</f>
        <v>#REF!</v>
      </c>
      <c r="GN42" t="e">
        <f>AND(#REF!,"AAAAAH3u/cM=")</f>
        <v>#REF!</v>
      </c>
      <c r="GO42" t="e">
        <f>AND(#REF!,"AAAAAH3u/cQ=")</f>
        <v>#REF!</v>
      </c>
      <c r="GP42" t="e">
        <f>AND(#REF!,"AAAAAH3u/cU=")</f>
        <v>#REF!</v>
      </c>
      <c r="GQ42" t="e">
        <f>AND(#REF!,"AAAAAH3u/cY=")</f>
        <v>#REF!</v>
      </c>
      <c r="GR42" t="e">
        <f>AND(#REF!,"AAAAAH3u/cc=")</f>
        <v>#REF!</v>
      </c>
      <c r="GS42" t="e">
        <f>AND(#REF!,"AAAAAH3u/cg=")</f>
        <v>#REF!</v>
      </c>
      <c r="GT42" t="e">
        <f>AND(#REF!,"AAAAAH3u/ck=")</f>
        <v>#REF!</v>
      </c>
      <c r="GU42" t="e">
        <f>AND(#REF!,"AAAAAH3u/co=")</f>
        <v>#REF!</v>
      </c>
      <c r="GV42" t="e">
        <f>AND(#REF!,"AAAAAH3u/cs=")</f>
        <v>#REF!</v>
      </c>
      <c r="GW42" t="e">
        <f>AND(#REF!,"AAAAAH3u/cw=")</f>
        <v>#REF!</v>
      </c>
      <c r="GX42" t="e">
        <f>AND(#REF!,"AAAAAH3u/c0=")</f>
        <v>#REF!</v>
      </c>
      <c r="GY42" t="e">
        <f>AND(#REF!,"AAAAAH3u/c4=")</f>
        <v>#REF!</v>
      </c>
      <c r="GZ42" t="e">
        <f>AND(#REF!,"AAAAAH3u/c8=")</f>
        <v>#REF!</v>
      </c>
      <c r="HA42" t="e">
        <f>IF(#REF!,"AAAAAH3u/dA=",0)</f>
        <v>#REF!</v>
      </c>
      <c r="HB42" t="e">
        <f>AND(#REF!,"AAAAAH3u/dE=")</f>
        <v>#REF!</v>
      </c>
      <c r="HC42" t="e">
        <f>AND(#REF!,"AAAAAH3u/dI=")</f>
        <v>#REF!</v>
      </c>
      <c r="HD42" t="e">
        <f>AND(#REF!,"AAAAAH3u/dM=")</f>
        <v>#REF!</v>
      </c>
      <c r="HE42" t="e">
        <f>AND(#REF!,"AAAAAH3u/dQ=")</f>
        <v>#REF!</v>
      </c>
      <c r="HF42" t="e">
        <f>AND(#REF!,"AAAAAH3u/dU=")</f>
        <v>#REF!</v>
      </c>
      <c r="HG42" t="e">
        <f>AND(#REF!,"AAAAAH3u/dY=")</f>
        <v>#REF!</v>
      </c>
      <c r="HH42" t="e">
        <f>AND(#REF!,"AAAAAH3u/dc=")</f>
        <v>#REF!</v>
      </c>
      <c r="HI42" t="e">
        <f>AND(#REF!,"AAAAAH3u/dg=")</f>
        <v>#REF!</v>
      </c>
      <c r="HJ42" t="e">
        <f>AND(#REF!,"AAAAAH3u/dk=")</f>
        <v>#REF!</v>
      </c>
      <c r="HK42" t="e">
        <f>AND(#REF!,"AAAAAH3u/do=")</f>
        <v>#REF!</v>
      </c>
      <c r="HL42" t="e">
        <f>AND(#REF!,"AAAAAH3u/ds=")</f>
        <v>#REF!</v>
      </c>
      <c r="HM42" t="e">
        <f>AND(#REF!,"AAAAAH3u/dw=")</f>
        <v>#REF!</v>
      </c>
      <c r="HN42" t="e">
        <f>AND(#REF!,"AAAAAH3u/d0=")</f>
        <v>#REF!</v>
      </c>
      <c r="HO42" t="e">
        <f>AND(#REF!,"AAAAAH3u/d4=")</f>
        <v>#REF!</v>
      </c>
      <c r="HP42" t="e">
        <f>IF(#REF!,"AAAAAH3u/d8=",0)</f>
        <v>#REF!</v>
      </c>
      <c r="HQ42" t="e">
        <f>AND(#REF!,"AAAAAH3u/eA=")</f>
        <v>#REF!</v>
      </c>
      <c r="HR42" t="e">
        <f>AND(#REF!,"AAAAAH3u/eE=")</f>
        <v>#REF!</v>
      </c>
      <c r="HS42" t="e">
        <f>AND(#REF!,"AAAAAH3u/eI=")</f>
        <v>#REF!</v>
      </c>
      <c r="HT42" t="e">
        <f>AND(#REF!,"AAAAAH3u/eM=")</f>
        <v>#REF!</v>
      </c>
      <c r="HU42" t="e">
        <f>AND(#REF!,"AAAAAH3u/eQ=")</f>
        <v>#REF!</v>
      </c>
      <c r="HV42" t="e">
        <f>AND(#REF!,"AAAAAH3u/eU=")</f>
        <v>#REF!</v>
      </c>
      <c r="HW42" t="e">
        <f>AND(#REF!,"AAAAAH3u/eY=")</f>
        <v>#REF!</v>
      </c>
      <c r="HX42" t="e">
        <f>AND(#REF!,"AAAAAH3u/ec=")</f>
        <v>#REF!</v>
      </c>
      <c r="HY42" t="e">
        <f>AND(#REF!,"AAAAAH3u/eg=")</f>
        <v>#REF!</v>
      </c>
      <c r="HZ42" t="e">
        <f>AND(#REF!,"AAAAAH3u/ek=")</f>
        <v>#REF!</v>
      </c>
      <c r="IA42" t="e">
        <f>AND(#REF!,"AAAAAH3u/eo=")</f>
        <v>#REF!</v>
      </c>
      <c r="IB42" t="e">
        <f>AND(#REF!,"AAAAAH3u/es=")</f>
        <v>#REF!</v>
      </c>
      <c r="IC42" t="e">
        <f>AND(#REF!,"AAAAAH3u/ew=")</f>
        <v>#REF!</v>
      </c>
      <c r="ID42" t="e">
        <f>AND(#REF!,"AAAAAH3u/e0=")</f>
        <v>#REF!</v>
      </c>
      <c r="IE42" t="e">
        <f>IF(#REF!,"AAAAAH3u/e4=",0)</f>
        <v>#REF!</v>
      </c>
      <c r="IF42" t="e">
        <f>AND(#REF!,"AAAAAH3u/e8=")</f>
        <v>#REF!</v>
      </c>
      <c r="IG42" t="e">
        <f>AND(#REF!,"AAAAAH3u/fA=")</f>
        <v>#REF!</v>
      </c>
      <c r="IH42" t="e">
        <f>AND(#REF!,"AAAAAH3u/fE=")</f>
        <v>#REF!</v>
      </c>
      <c r="II42" t="e">
        <f>AND(#REF!,"AAAAAH3u/fI=")</f>
        <v>#REF!</v>
      </c>
      <c r="IJ42" t="e">
        <f>AND(#REF!,"AAAAAH3u/fM=")</f>
        <v>#REF!</v>
      </c>
      <c r="IK42" t="e">
        <f>AND(#REF!,"AAAAAH3u/fQ=")</f>
        <v>#REF!</v>
      </c>
      <c r="IL42" t="e">
        <f>AND(#REF!,"AAAAAH3u/fU=")</f>
        <v>#REF!</v>
      </c>
      <c r="IM42" t="e">
        <f>AND(#REF!,"AAAAAH3u/fY=")</f>
        <v>#REF!</v>
      </c>
      <c r="IN42" t="e">
        <f>AND(#REF!,"AAAAAH3u/fc=")</f>
        <v>#REF!</v>
      </c>
      <c r="IO42" t="e">
        <f>AND(#REF!,"AAAAAH3u/fg=")</f>
        <v>#REF!</v>
      </c>
      <c r="IP42" t="e">
        <f>AND(#REF!,"AAAAAH3u/fk=")</f>
        <v>#REF!</v>
      </c>
      <c r="IQ42" t="e">
        <f>AND(#REF!,"AAAAAH3u/fo=")</f>
        <v>#REF!</v>
      </c>
      <c r="IR42" t="e">
        <f>AND(#REF!,"AAAAAH3u/fs=")</f>
        <v>#REF!</v>
      </c>
      <c r="IS42" t="e">
        <f>AND(#REF!,"AAAAAH3u/fw=")</f>
        <v>#REF!</v>
      </c>
      <c r="IT42" t="e">
        <f>IF(#REF!,"AAAAAH3u/f0=",0)</f>
        <v>#REF!</v>
      </c>
      <c r="IU42" t="e">
        <f>AND(#REF!,"AAAAAH3u/f4=")</f>
        <v>#REF!</v>
      </c>
      <c r="IV42" t="e">
        <f>AND(#REF!,"AAAAAH3u/f8=")</f>
        <v>#REF!</v>
      </c>
    </row>
    <row r="43" spans="1:256">
      <c r="A43" t="e">
        <f>AND(#REF!,"AAAAAHfXvwA=")</f>
        <v>#REF!</v>
      </c>
      <c r="B43" t="e">
        <f>AND(#REF!,"AAAAAHfXvwE=")</f>
        <v>#REF!</v>
      </c>
      <c r="C43" t="e">
        <f>AND(#REF!,"AAAAAHfXvwI=")</f>
        <v>#REF!</v>
      </c>
      <c r="D43" t="e">
        <f>AND(#REF!,"AAAAAHfXvwM=")</f>
        <v>#REF!</v>
      </c>
      <c r="E43" t="e">
        <f>AND(#REF!,"AAAAAHfXvwQ=")</f>
        <v>#REF!</v>
      </c>
      <c r="F43" t="e">
        <f>AND(#REF!,"AAAAAHfXvwU=")</f>
        <v>#REF!</v>
      </c>
      <c r="G43" t="e">
        <f>AND(#REF!,"AAAAAHfXvwY=")</f>
        <v>#REF!</v>
      </c>
      <c r="H43" t="e">
        <f>AND(#REF!,"AAAAAHfXvwc=")</f>
        <v>#REF!</v>
      </c>
      <c r="I43" t="e">
        <f>AND(#REF!,"AAAAAHfXvwg=")</f>
        <v>#REF!</v>
      </c>
      <c r="J43" t="e">
        <f>AND(#REF!,"AAAAAHfXvwk=")</f>
        <v>#REF!</v>
      </c>
      <c r="K43" t="e">
        <f>AND(#REF!,"AAAAAHfXvwo=")</f>
        <v>#REF!</v>
      </c>
      <c r="L43" t="e">
        <f>AND(#REF!,"AAAAAHfXvws=")</f>
        <v>#REF!</v>
      </c>
      <c r="M43" t="e">
        <f>IF(#REF!,"AAAAAHfXvww=",0)</f>
        <v>#REF!</v>
      </c>
      <c r="N43" t="e">
        <f>AND(#REF!,"AAAAAHfXvw0=")</f>
        <v>#REF!</v>
      </c>
      <c r="O43" t="e">
        <f>AND(#REF!,"AAAAAHfXvw4=")</f>
        <v>#REF!</v>
      </c>
      <c r="P43" t="e">
        <f>AND(#REF!,"AAAAAHfXvw8=")</f>
        <v>#REF!</v>
      </c>
      <c r="Q43" t="e">
        <f>AND(#REF!,"AAAAAHfXvxA=")</f>
        <v>#REF!</v>
      </c>
      <c r="R43" t="e">
        <f>AND(#REF!,"AAAAAHfXvxE=")</f>
        <v>#REF!</v>
      </c>
      <c r="S43" t="e">
        <f>AND(#REF!,"AAAAAHfXvxI=")</f>
        <v>#REF!</v>
      </c>
      <c r="T43" t="e">
        <f>AND(#REF!,"AAAAAHfXvxM=")</f>
        <v>#REF!</v>
      </c>
      <c r="U43" t="e">
        <f>AND(#REF!,"AAAAAHfXvxQ=")</f>
        <v>#REF!</v>
      </c>
      <c r="V43" t="e">
        <f>AND(#REF!,"AAAAAHfXvxU=")</f>
        <v>#REF!</v>
      </c>
      <c r="W43" t="e">
        <f>AND(#REF!,"AAAAAHfXvxY=")</f>
        <v>#REF!</v>
      </c>
      <c r="X43" t="e">
        <f>AND(#REF!,"AAAAAHfXvxc=")</f>
        <v>#REF!</v>
      </c>
      <c r="Y43" t="e">
        <f>AND(#REF!,"AAAAAHfXvxg=")</f>
        <v>#REF!</v>
      </c>
      <c r="Z43" t="e">
        <f>AND(#REF!,"AAAAAHfXvxk=")</f>
        <v>#REF!</v>
      </c>
      <c r="AA43" t="e">
        <f>AND(#REF!,"AAAAAHfXvxo=")</f>
        <v>#REF!</v>
      </c>
      <c r="AB43" t="e">
        <f>IF(#REF!,"AAAAAHfXvxs=",0)</f>
        <v>#REF!</v>
      </c>
      <c r="AC43" t="e">
        <f>AND(#REF!,"AAAAAHfXvxw=")</f>
        <v>#REF!</v>
      </c>
      <c r="AD43" t="e">
        <f>AND(#REF!,"AAAAAHfXvx0=")</f>
        <v>#REF!</v>
      </c>
      <c r="AE43" t="e">
        <f>AND(#REF!,"AAAAAHfXvx4=")</f>
        <v>#REF!</v>
      </c>
      <c r="AF43" t="e">
        <f>AND(#REF!,"AAAAAHfXvx8=")</f>
        <v>#REF!</v>
      </c>
      <c r="AG43" t="e">
        <f>AND(#REF!,"AAAAAHfXvyA=")</f>
        <v>#REF!</v>
      </c>
      <c r="AH43" t="e">
        <f>AND(#REF!,"AAAAAHfXvyE=")</f>
        <v>#REF!</v>
      </c>
      <c r="AI43" t="e">
        <f>AND(#REF!,"AAAAAHfXvyI=")</f>
        <v>#REF!</v>
      </c>
      <c r="AJ43" t="e">
        <f>AND(#REF!,"AAAAAHfXvyM=")</f>
        <v>#REF!</v>
      </c>
      <c r="AK43" t="e">
        <f>AND(#REF!,"AAAAAHfXvyQ=")</f>
        <v>#REF!</v>
      </c>
      <c r="AL43" t="e">
        <f>AND(#REF!,"AAAAAHfXvyU=")</f>
        <v>#REF!</v>
      </c>
      <c r="AM43" t="e">
        <f>AND(#REF!,"AAAAAHfXvyY=")</f>
        <v>#REF!</v>
      </c>
      <c r="AN43" t="e">
        <f>AND(#REF!,"AAAAAHfXvyc=")</f>
        <v>#REF!</v>
      </c>
      <c r="AO43" t="e">
        <f>AND(#REF!,"AAAAAHfXvyg=")</f>
        <v>#REF!</v>
      </c>
      <c r="AP43" t="e">
        <f>AND(#REF!,"AAAAAHfXvyk=")</f>
        <v>#REF!</v>
      </c>
      <c r="AQ43" t="e">
        <f>IF(#REF!,"AAAAAHfXvyo=",0)</f>
        <v>#REF!</v>
      </c>
      <c r="AR43" t="e">
        <f>AND(#REF!,"AAAAAHfXvys=")</f>
        <v>#REF!</v>
      </c>
      <c r="AS43" t="e">
        <f>AND(#REF!,"AAAAAHfXvyw=")</f>
        <v>#REF!</v>
      </c>
      <c r="AT43" t="e">
        <f>AND(#REF!,"AAAAAHfXvy0=")</f>
        <v>#REF!</v>
      </c>
      <c r="AU43" t="e">
        <f>AND(#REF!,"AAAAAHfXvy4=")</f>
        <v>#REF!</v>
      </c>
      <c r="AV43" t="e">
        <f>AND(#REF!,"AAAAAHfXvy8=")</f>
        <v>#REF!</v>
      </c>
      <c r="AW43" t="e">
        <f>AND(#REF!,"AAAAAHfXvzA=")</f>
        <v>#REF!</v>
      </c>
      <c r="AX43" t="e">
        <f>AND(#REF!,"AAAAAHfXvzE=")</f>
        <v>#REF!</v>
      </c>
      <c r="AY43" t="e">
        <f>AND(#REF!,"AAAAAHfXvzI=")</f>
        <v>#REF!</v>
      </c>
      <c r="AZ43" t="e">
        <f>AND(#REF!,"AAAAAHfXvzM=")</f>
        <v>#REF!</v>
      </c>
      <c r="BA43" t="e">
        <f>AND(#REF!,"AAAAAHfXvzQ=")</f>
        <v>#REF!</v>
      </c>
      <c r="BB43" t="e">
        <f>AND(#REF!,"AAAAAHfXvzU=")</f>
        <v>#REF!</v>
      </c>
      <c r="BC43" t="e">
        <f>AND(#REF!,"AAAAAHfXvzY=")</f>
        <v>#REF!</v>
      </c>
      <c r="BD43" t="e">
        <f>AND(#REF!,"AAAAAHfXvzc=")</f>
        <v>#REF!</v>
      </c>
      <c r="BE43" t="e">
        <f>AND(#REF!,"AAAAAHfXvzg=")</f>
        <v>#REF!</v>
      </c>
      <c r="BF43" t="e">
        <f>IF(#REF!,"AAAAAHfXvzk=",0)</f>
        <v>#REF!</v>
      </c>
      <c r="BG43" t="e">
        <f>AND(#REF!,"AAAAAHfXvzo=")</f>
        <v>#REF!</v>
      </c>
      <c r="BH43" t="e">
        <f>AND(#REF!,"AAAAAHfXvzs=")</f>
        <v>#REF!</v>
      </c>
      <c r="BI43" t="e">
        <f>AND(#REF!,"AAAAAHfXvzw=")</f>
        <v>#REF!</v>
      </c>
      <c r="BJ43" t="e">
        <f>AND(#REF!,"AAAAAHfXvz0=")</f>
        <v>#REF!</v>
      </c>
      <c r="BK43" t="e">
        <f>AND(#REF!,"AAAAAHfXvz4=")</f>
        <v>#REF!</v>
      </c>
      <c r="BL43" t="e">
        <f>AND(#REF!,"AAAAAHfXvz8=")</f>
        <v>#REF!</v>
      </c>
      <c r="BM43" t="e">
        <f>AND(#REF!,"AAAAAHfXv0A=")</f>
        <v>#REF!</v>
      </c>
      <c r="BN43" t="e">
        <f>AND(#REF!,"AAAAAHfXv0E=")</f>
        <v>#REF!</v>
      </c>
      <c r="BO43" t="e">
        <f>AND(#REF!,"AAAAAHfXv0I=")</f>
        <v>#REF!</v>
      </c>
      <c r="BP43" t="e">
        <f>AND(#REF!,"AAAAAHfXv0M=")</f>
        <v>#REF!</v>
      </c>
      <c r="BQ43" t="e">
        <f>AND(#REF!,"AAAAAHfXv0Q=")</f>
        <v>#REF!</v>
      </c>
      <c r="BR43" t="e">
        <f>AND(#REF!,"AAAAAHfXv0U=")</f>
        <v>#REF!</v>
      </c>
      <c r="BS43" t="e">
        <f>AND(#REF!,"AAAAAHfXv0Y=")</f>
        <v>#REF!</v>
      </c>
      <c r="BT43" t="e">
        <f>AND(#REF!,"AAAAAHfXv0c=")</f>
        <v>#REF!</v>
      </c>
      <c r="BU43" t="e">
        <f>IF(#REF!,"AAAAAHfXv0g=",0)</f>
        <v>#REF!</v>
      </c>
      <c r="BV43" t="e">
        <f>AND(#REF!,"AAAAAHfXv0k=")</f>
        <v>#REF!</v>
      </c>
      <c r="BW43" t="e">
        <f>AND(#REF!,"AAAAAHfXv0o=")</f>
        <v>#REF!</v>
      </c>
      <c r="BX43" t="e">
        <f>AND(#REF!,"AAAAAHfXv0s=")</f>
        <v>#REF!</v>
      </c>
      <c r="BY43" t="e">
        <f>AND(#REF!,"AAAAAHfXv0w=")</f>
        <v>#REF!</v>
      </c>
      <c r="BZ43" t="e">
        <f>AND(#REF!,"AAAAAHfXv00=")</f>
        <v>#REF!</v>
      </c>
      <c r="CA43" t="e">
        <f>AND(#REF!,"AAAAAHfXv04=")</f>
        <v>#REF!</v>
      </c>
      <c r="CB43" t="e">
        <f>AND(#REF!,"AAAAAHfXv08=")</f>
        <v>#REF!</v>
      </c>
      <c r="CC43" t="e">
        <f>AND(#REF!,"AAAAAHfXv1A=")</f>
        <v>#REF!</v>
      </c>
      <c r="CD43" t="e">
        <f>AND(#REF!,"AAAAAHfXv1E=")</f>
        <v>#REF!</v>
      </c>
      <c r="CE43" t="e">
        <f>AND(#REF!,"AAAAAHfXv1I=")</f>
        <v>#REF!</v>
      </c>
      <c r="CF43" t="e">
        <f>AND(#REF!,"AAAAAHfXv1M=")</f>
        <v>#REF!</v>
      </c>
      <c r="CG43" t="e">
        <f>AND(#REF!,"AAAAAHfXv1Q=")</f>
        <v>#REF!</v>
      </c>
      <c r="CH43" t="e">
        <f>AND(#REF!,"AAAAAHfXv1U=")</f>
        <v>#REF!</v>
      </c>
      <c r="CI43" t="e">
        <f>AND(#REF!,"AAAAAHfXv1Y=")</f>
        <v>#REF!</v>
      </c>
      <c r="CJ43" t="e">
        <f>IF(#REF!,"AAAAAHfXv1c=",0)</f>
        <v>#REF!</v>
      </c>
      <c r="CK43" t="e">
        <f>AND(#REF!,"AAAAAHfXv1g=")</f>
        <v>#REF!</v>
      </c>
      <c r="CL43" t="e">
        <f>AND(#REF!,"AAAAAHfXv1k=")</f>
        <v>#REF!</v>
      </c>
      <c r="CM43" t="e">
        <f>AND(#REF!,"AAAAAHfXv1o=")</f>
        <v>#REF!</v>
      </c>
      <c r="CN43" t="e">
        <f>AND(#REF!,"AAAAAHfXv1s=")</f>
        <v>#REF!</v>
      </c>
      <c r="CO43" t="e">
        <f>AND(#REF!,"AAAAAHfXv1w=")</f>
        <v>#REF!</v>
      </c>
      <c r="CP43" t="e">
        <f>AND(#REF!,"AAAAAHfXv10=")</f>
        <v>#REF!</v>
      </c>
      <c r="CQ43" t="e">
        <f>AND(#REF!,"AAAAAHfXv14=")</f>
        <v>#REF!</v>
      </c>
      <c r="CR43" t="e">
        <f>AND(#REF!,"AAAAAHfXv18=")</f>
        <v>#REF!</v>
      </c>
      <c r="CS43" t="e">
        <f>AND(#REF!,"AAAAAHfXv2A=")</f>
        <v>#REF!</v>
      </c>
      <c r="CT43" t="e">
        <f>AND(#REF!,"AAAAAHfXv2E=")</f>
        <v>#REF!</v>
      </c>
      <c r="CU43" t="e">
        <f>AND(#REF!,"AAAAAHfXv2I=")</f>
        <v>#REF!</v>
      </c>
      <c r="CV43" t="e">
        <f>AND(#REF!,"AAAAAHfXv2M=")</f>
        <v>#REF!</v>
      </c>
      <c r="CW43" t="e">
        <f>AND(#REF!,"AAAAAHfXv2Q=")</f>
        <v>#REF!</v>
      </c>
      <c r="CX43" t="e">
        <f>AND(#REF!,"AAAAAHfXv2U=")</f>
        <v>#REF!</v>
      </c>
      <c r="CY43" t="e">
        <f>IF(#REF!,"AAAAAHfXv2Y=",0)</f>
        <v>#REF!</v>
      </c>
      <c r="CZ43" t="e">
        <f>AND(#REF!,"AAAAAHfXv2c=")</f>
        <v>#REF!</v>
      </c>
      <c r="DA43" t="e">
        <f>AND(#REF!,"AAAAAHfXv2g=")</f>
        <v>#REF!</v>
      </c>
      <c r="DB43" t="e">
        <f>AND(#REF!,"AAAAAHfXv2k=")</f>
        <v>#REF!</v>
      </c>
      <c r="DC43" t="e">
        <f>AND(#REF!,"AAAAAHfXv2o=")</f>
        <v>#REF!</v>
      </c>
      <c r="DD43" t="e">
        <f>AND(#REF!,"AAAAAHfXv2s=")</f>
        <v>#REF!</v>
      </c>
      <c r="DE43" t="e">
        <f>AND(#REF!,"AAAAAHfXv2w=")</f>
        <v>#REF!</v>
      </c>
      <c r="DF43" t="e">
        <f>AND(#REF!,"AAAAAHfXv20=")</f>
        <v>#REF!</v>
      </c>
      <c r="DG43" t="e">
        <f>AND(#REF!,"AAAAAHfXv24=")</f>
        <v>#REF!</v>
      </c>
      <c r="DH43" t="e">
        <f>AND(#REF!,"AAAAAHfXv28=")</f>
        <v>#REF!</v>
      </c>
      <c r="DI43" t="e">
        <f>AND(#REF!,"AAAAAHfXv3A=")</f>
        <v>#REF!</v>
      </c>
      <c r="DJ43" t="e">
        <f>AND(#REF!,"AAAAAHfXv3E=")</f>
        <v>#REF!</v>
      </c>
      <c r="DK43" t="e">
        <f>AND(#REF!,"AAAAAHfXv3I=")</f>
        <v>#REF!</v>
      </c>
      <c r="DL43" t="e">
        <f>AND(#REF!,"AAAAAHfXv3M=")</f>
        <v>#REF!</v>
      </c>
      <c r="DM43" t="e">
        <f>AND(#REF!,"AAAAAHfXv3Q=")</f>
        <v>#REF!</v>
      </c>
      <c r="DN43" t="e">
        <f>IF(#REF!,"AAAAAHfXv3U=",0)</f>
        <v>#REF!</v>
      </c>
      <c r="DO43" t="e">
        <f>AND(#REF!,"AAAAAHfXv3Y=")</f>
        <v>#REF!</v>
      </c>
      <c r="DP43" t="e">
        <f>AND(#REF!,"AAAAAHfXv3c=")</f>
        <v>#REF!</v>
      </c>
      <c r="DQ43" t="e">
        <f>AND(#REF!,"AAAAAHfXv3g=")</f>
        <v>#REF!</v>
      </c>
      <c r="DR43" t="e">
        <f>AND(#REF!,"AAAAAHfXv3k=")</f>
        <v>#REF!</v>
      </c>
      <c r="DS43" t="e">
        <f>AND(#REF!,"AAAAAHfXv3o=")</f>
        <v>#REF!</v>
      </c>
      <c r="DT43" t="e">
        <f>AND(#REF!,"AAAAAHfXv3s=")</f>
        <v>#REF!</v>
      </c>
      <c r="DU43" t="e">
        <f>AND(#REF!,"AAAAAHfXv3w=")</f>
        <v>#REF!</v>
      </c>
      <c r="DV43" t="e">
        <f>AND(#REF!,"AAAAAHfXv30=")</f>
        <v>#REF!</v>
      </c>
      <c r="DW43" t="e">
        <f>AND(#REF!,"AAAAAHfXv34=")</f>
        <v>#REF!</v>
      </c>
      <c r="DX43" t="e">
        <f>AND(#REF!,"AAAAAHfXv38=")</f>
        <v>#REF!</v>
      </c>
      <c r="DY43" t="e">
        <f>AND(#REF!,"AAAAAHfXv4A=")</f>
        <v>#REF!</v>
      </c>
      <c r="DZ43" t="e">
        <f>AND(#REF!,"AAAAAHfXv4E=")</f>
        <v>#REF!</v>
      </c>
      <c r="EA43" t="e">
        <f>AND(#REF!,"AAAAAHfXv4I=")</f>
        <v>#REF!</v>
      </c>
      <c r="EB43" t="e">
        <f>AND(#REF!,"AAAAAHfXv4M=")</f>
        <v>#REF!</v>
      </c>
      <c r="EC43" t="e">
        <f>IF(#REF!,"AAAAAHfXv4Q=",0)</f>
        <v>#REF!</v>
      </c>
      <c r="ED43" t="e">
        <f>AND(#REF!,"AAAAAHfXv4U=")</f>
        <v>#REF!</v>
      </c>
      <c r="EE43" t="e">
        <f>AND(#REF!,"AAAAAHfXv4Y=")</f>
        <v>#REF!</v>
      </c>
      <c r="EF43" t="e">
        <f>AND(#REF!,"AAAAAHfXv4c=")</f>
        <v>#REF!</v>
      </c>
      <c r="EG43" t="e">
        <f>AND(#REF!,"AAAAAHfXv4g=")</f>
        <v>#REF!</v>
      </c>
      <c r="EH43" t="e">
        <f>AND(#REF!,"AAAAAHfXv4k=")</f>
        <v>#REF!</v>
      </c>
      <c r="EI43" t="e">
        <f>AND(#REF!,"AAAAAHfXv4o=")</f>
        <v>#REF!</v>
      </c>
      <c r="EJ43" t="e">
        <f>AND(#REF!,"AAAAAHfXv4s=")</f>
        <v>#REF!</v>
      </c>
      <c r="EK43" t="e">
        <f>AND(#REF!,"AAAAAHfXv4w=")</f>
        <v>#REF!</v>
      </c>
      <c r="EL43" t="e">
        <f>AND(#REF!,"AAAAAHfXv40=")</f>
        <v>#REF!</v>
      </c>
      <c r="EM43" t="e">
        <f>AND(#REF!,"AAAAAHfXv44=")</f>
        <v>#REF!</v>
      </c>
      <c r="EN43" t="e">
        <f>AND(#REF!,"AAAAAHfXv48=")</f>
        <v>#REF!</v>
      </c>
      <c r="EO43" t="e">
        <f>AND(#REF!,"AAAAAHfXv5A=")</f>
        <v>#REF!</v>
      </c>
      <c r="EP43" t="e">
        <f>AND(#REF!,"AAAAAHfXv5E=")</f>
        <v>#REF!</v>
      </c>
      <c r="EQ43" t="e">
        <f>AND(#REF!,"AAAAAHfXv5I=")</f>
        <v>#REF!</v>
      </c>
      <c r="ER43" t="e">
        <f>IF(#REF!,"AAAAAHfXv5M=",0)</f>
        <v>#REF!</v>
      </c>
      <c r="ES43" t="e">
        <f>AND(#REF!,"AAAAAHfXv5Q=")</f>
        <v>#REF!</v>
      </c>
      <c r="ET43" t="e">
        <f>AND(#REF!,"AAAAAHfXv5U=")</f>
        <v>#REF!</v>
      </c>
      <c r="EU43" t="e">
        <f>AND(#REF!,"AAAAAHfXv5Y=")</f>
        <v>#REF!</v>
      </c>
      <c r="EV43" t="e">
        <f>AND(#REF!,"AAAAAHfXv5c=")</f>
        <v>#REF!</v>
      </c>
      <c r="EW43" t="e">
        <f>AND(#REF!,"AAAAAHfXv5g=")</f>
        <v>#REF!</v>
      </c>
      <c r="EX43" t="e">
        <f>AND(#REF!,"AAAAAHfXv5k=")</f>
        <v>#REF!</v>
      </c>
      <c r="EY43" t="e">
        <f>AND(#REF!,"AAAAAHfXv5o=")</f>
        <v>#REF!</v>
      </c>
      <c r="EZ43" t="e">
        <f>AND(#REF!,"AAAAAHfXv5s=")</f>
        <v>#REF!</v>
      </c>
      <c r="FA43" t="e">
        <f>AND(#REF!,"AAAAAHfXv5w=")</f>
        <v>#REF!</v>
      </c>
      <c r="FB43" t="e">
        <f>AND(#REF!,"AAAAAHfXv50=")</f>
        <v>#REF!</v>
      </c>
      <c r="FC43" t="e">
        <f>AND(#REF!,"AAAAAHfXv54=")</f>
        <v>#REF!</v>
      </c>
      <c r="FD43" t="e">
        <f>AND(#REF!,"AAAAAHfXv58=")</f>
        <v>#REF!</v>
      </c>
      <c r="FE43" t="e">
        <f>AND(#REF!,"AAAAAHfXv6A=")</f>
        <v>#REF!</v>
      </c>
      <c r="FF43" t="e">
        <f>AND(#REF!,"AAAAAHfXv6E=")</f>
        <v>#REF!</v>
      </c>
      <c r="FG43" t="e">
        <f>IF(#REF!,"AAAAAHfXv6I=",0)</f>
        <v>#REF!</v>
      </c>
      <c r="FH43" t="e">
        <f>AND(#REF!,"AAAAAHfXv6M=")</f>
        <v>#REF!</v>
      </c>
      <c r="FI43" t="e">
        <f>AND(#REF!,"AAAAAHfXv6Q=")</f>
        <v>#REF!</v>
      </c>
      <c r="FJ43" t="e">
        <f>AND(#REF!,"AAAAAHfXv6U=")</f>
        <v>#REF!</v>
      </c>
      <c r="FK43" t="e">
        <f>AND(#REF!,"AAAAAHfXv6Y=")</f>
        <v>#REF!</v>
      </c>
      <c r="FL43" t="e">
        <f>AND(#REF!,"AAAAAHfXv6c=")</f>
        <v>#REF!</v>
      </c>
      <c r="FM43" t="e">
        <f>AND(#REF!,"AAAAAHfXv6g=")</f>
        <v>#REF!</v>
      </c>
      <c r="FN43" t="e">
        <f>AND(#REF!,"AAAAAHfXv6k=")</f>
        <v>#REF!</v>
      </c>
      <c r="FO43" t="e">
        <f>AND(#REF!,"AAAAAHfXv6o=")</f>
        <v>#REF!</v>
      </c>
      <c r="FP43" t="e">
        <f>AND(#REF!,"AAAAAHfXv6s=")</f>
        <v>#REF!</v>
      </c>
      <c r="FQ43" t="e">
        <f>AND(#REF!,"AAAAAHfXv6w=")</f>
        <v>#REF!</v>
      </c>
      <c r="FR43" t="e">
        <f>AND(#REF!,"AAAAAHfXv60=")</f>
        <v>#REF!</v>
      </c>
      <c r="FS43" t="e">
        <f>AND(#REF!,"AAAAAHfXv64=")</f>
        <v>#REF!</v>
      </c>
      <c r="FT43" t="e">
        <f>AND(#REF!,"AAAAAHfXv68=")</f>
        <v>#REF!</v>
      </c>
      <c r="FU43" t="e">
        <f>AND(#REF!,"AAAAAHfXv7A=")</f>
        <v>#REF!</v>
      </c>
      <c r="FV43" t="e">
        <f>IF(#REF!,"AAAAAHfXv7E=",0)</f>
        <v>#REF!</v>
      </c>
      <c r="FW43" t="e">
        <f>AND(#REF!,"AAAAAHfXv7I=")</f>
        <v>#REF!</v>
      </c>
      <c r="FX43" t="e">
        <f>AND(#REF!,"AAAAAHfXv7M=")</f>
        <v>#REF!</v>
      </c>
      <c r="FY43" t="e">
        <f>AND(#REF!,"AAAAAHfXv7Q=")</f>
        <v>#REF!</v>
      </c>
      <c r="FZ43" t="e">
        <f>AND(#REF!,"AAAAAHfXv7U=")</f>
        <v>#REF!</v>
      </c>
      <c r="GA43" t="e">
        <f>AND(#REF!,"AAAAAHfXv7Y=")</f>
        <v>#REF!</v>
      </c>
      <c r="GB43" t="e">
        <f>AND(#REF!,"AAAAAHfXv7c=")</f>
        <v>#REF!</v>
      </c>
      <c r="GC43" t="e">
        <f>AND(#REF!,"AAAAAHfXv7g=")</f>
        <v>#REF!</v>
      </c>
      <c r="GD43" t="e">
        <f>AND(#REF!,"AAAAAHfXv7k=")</f>
        <v>#REF!</v>
      </c>
      <c r="GE43" t="e">
        <f>AND(#REF!,"AAAAAHfXv7o=")</f>
        <v>#REF!</v>
      </c>
      <c r="GF43" t="e">
        <f>AND(#REF!,"AAAAAHfXv7s=")</f>
        <v>#REF!</v>
      </c>
      <c r="GG43" t="e">
        <f>AND(#REF!,"AAAAAHfXv7w=")</f>
        <v>#REF!</v>
      </c>
      <c r="GH43" t="e">
        <f>AND(#REF!,"AAAAAHfXv70=")</f>
        <v>#REF!</v>
      </c>
      <c r="GI43" t="e">
        <f>AND(#REF!,"AAAAAHfXv74=")</f>
        <v>#REF!</v>
      </c>
      <c r="GJ43" t="e">
        <f>AND(#REF!,"AAAAAHfXv78=")</f>
        <v>#REF!</v>
      </c>
      <c r="GK43" t="e">
        <f>IF(#REF!,"AAAAAHfXv8A=",0)</f>
        <v>#REF!</v>
      </c>
      <c r="GL43" t="e">
        <f>AND(#REF!,"AAAAAHfXv8E=")</f>
        <v>#REF!</v>
      </c>
      <c r="GM43" t="e">
        <f>AND(#REF!,"AAAAAHfXv8I=")</f>
        <v>#REF!</v>
      </c>
      <c r="GN43" t="e">
        <f>AND(#REF!,"AAAAAHfXv8M=")</f>
        <v>#REF!</v>
      </c>
      <c r="GO43" t="e">
        <f>AND(#REF!,"AAAAAHfXv8Q=")</f>
        <v>#REF!</v>
      </c>
      <c r="GP43" t="e">
        <f>AND(#REF!,"AAAAAHfXv8U=")</f>
        <v>#REF!</v>
      </c>
      <c r="GQ43" t="e">
        <f>AND(#REF!,"AAAAAHfXv8Y=")</f>
        <v>#REF!</v>
      </c>
      <c r="GR43" t="e">
        <f>AND(#REF!,"AAAAAHfXv8c=")</f>
        <v>#REF!</v>
      </c>
      <c r="GS43" t="e">
        <f>AND(#REF!,"AAAAAHfXv8g=")</f>
        <v>#REF!</v>
      </c>
      <c r="GT43" t="e">
        <f>AND(#REF!,"AAAAAHfXv8k=")</f>
        <v>#REF!</v>
      </c>
      <c r="GU43" t="e">
        <f>AND(#REF!,"AAAAAHfXv8o=")</f>
        <v>#REF!</v>
      </c>
      <c r="GV43" t="e">
        <f>AND(#REF!,"AAAAAHfXv8s=")</f>
        <v>#REF!</v>
      </c>
      <c r="GW43" t="e">
        <f>AND(#REF!,"AAAAAHfXv8w=")</f>
        <v>#REF!</v>
      </c>
      <c r="GX43" t="e">
        <f>AND(#REF!,"AAAAAHfXv80=")</f>
        <v>#REF!</v>
      </c>
      <c r="GY43" t="e">
        <f>AND(#REF!,"AAAAAHfXv84=")</f>
        <v>#REF!</v>
      </c>
      <c r="GZ43" t="e">
        <f>IF(#REF!,"AAAAAHfXv88=",0)</f>
        <v>#REF!</v>
      </c>
      <c r="HA43" t="e">
        <f>AND(#REF!,"AAAAAHfXv9A=")</f>
        <v>#REF!</v>
      </c>
      <c r="HB43" t="e">
        <f>AND(#REF!,"AAAAAHfXv9E=")</f>
        <v>#REF!</v>
      </c>
      <c r="HC43" t="e">
        <f>AND(#REF!,"AAAAAHfXv9I=")</f>
        <v>#REF!</v>
      </c>
      <c r="HD43" t="e">
        <f>AND(#REF!,"AAAAAHfXv9M=")</f>
        <v>#REF!</v>
      </c>
      <c r="HE43" t="e">
        <f>AND(#REF!,"AAAAAHfXv9Q=")</f>
        <v>#REF!</v>
      </c>
      <c r="HF43" t="e">
        <f>AND(#REF!,"AAAAAHfXv9U=")</f>
        <v>#REF!</v>
      </c>
      <c r="HG43" t="e">
        <f>AND(#REF!,"AAAAAHfXv9Y=")</f>
        <v>#REF!</v>
      </c>
      <c r="HH43" t="e">
        <f>AND(#REF!,"AAAAAHfXv9c=")</f>
        <v>#REF!</v>
      </c>
      <c r="HI43" t="e">
        <f>AND(#REF!,"AAAAAHfXv9g=")</f>
        <v>#REF!</v>
      </c>
      <c r="HJ43" t="e">
        <f>AND(#REF!,"AAAAAHfXv9k=")</f>
        <v>#REF!</v>
      </c>
      <c r="HK43" t="e">
        <f>AND(#REF!,"AAAAAHfXv9o=")</f>
        <v>#REF!</v>
      </c>
      <c r="HL43" t="e">
        <f>AND(#REF!,"AAAAAHfXv9s=")</f>
        <v>#REF!</v>
      </c>
      <c r="HM43" t="e">
        <f>AND(#REF!,"AAAAAHfXv9w=")</f>
        <v>#REF!</v>
      </c>
      <c r="HN43" t="e">
        <f>AND(#REF!,"AAAAAHfXv90=")</f>
        <v>#REF!</v>
      </c>
      <c r="HO43" t="e">
        <f>IF(#REF!,"AAAAAHfXv94=",0)</f>
        <v>#REF!</v>
      </c>
      <c r="HP43" t="e">
        <f>AND(#REF!,"AAAAAHfXv98=")</f>
        <v>#REF!</v>
      </c>
      <c r="HQ43" t="e">
        <f>AND(#REF!,"AAAAAHfXv+A=")</f>
        <v>#REF!</v>
      </c>
      <c r="HR43" t="e">
        <f>AND(#REF!,"AAAAAHfXv+E=")</f>
        <v>#REF!</v>
      </c>
      <c r="HS43" t="e">
        <f>AND(#REF!,"AAAAAHfXv+I=")</f>
        <v>#REF!</v>
      </c>
      <c r="HT43" t="e">
        <f>AND(#REF!,"AAAAAHfXv+M=")</f>
        <v>#REF!</v>
      </c>
      <c r="HU43" t="e">
        <f>AND(#REF!,"AAAAAHfXv+Q=")</f>
        <v>#REF!</v>
      </c>
      <c r="HV43" t="e">
        <f>AND(#REF!,"AAAAAHfXv+U=")</f>
        <v>#REF!</v>
      </c>
      <c r="HW43" t="e">
        <f>AND(#REF!,"AAAAAHfXv+Y=")</f>
        <v>#REF!</v>
      </c>
      <c r="HX43" t="e">
        <f>AND(#REF!,"AAAAAHfXv+c=")</f>
        <v>#REF!</v>
      </c>
      <c r="HY43" t="e">
        <f>AND(#REF!,"AAAAAHfXv+g=")</f>
        <v>#REF!</v>
      </c>
      <c r="HZ43" t="e">
        <f>AND(#REF!,"AAAAAHfXv+k=")</f>
        <v>#REF!</v>
      </c>
      <c r="IA43" t="e">
        <f>AND(#REF!,"AAAAAHfXv+o=")</f>
        <v>#REF!</v>
      </c>
      <c r="IB43" t="e">
        <f>AND(#REF!,"AAAAAHfXv+s=")</f>
        <v>#REF!</v>
      </c>
      <c r="IC43" t="e">
        <f>AND(#REF!,"AAAAAHfXv+w=")</f>
        <v>#REF!</v>
      </c>
      <c r="ID43" t="e">
        <f>IF(#REF!,"AAAAAHfXv+0=",0)</f>
        <v>#REF!</v>
      </c>
      <c r="IE43" t="e">
        <f>AND(#REF!,"AAAAAHfXv+4=")</f>
        <v>#REF!</v>
      </c>
      <c r="IF43" t="e">
        <f>AND(#REF!,"AAAAAHfXv+8=")</f>
        <v>#REF!</v>
      </c>
      <c r="IG43" t="e">
        <f>AND(#REF!,"AAAAAHfXv/A=")</f>
        <v>#REF!</v>
      </c>
      <c r="IH43" t="e">
        <f>AND(#REF!,"AAAAAHfXv/E=")</f>
        <v>#REF!</v>
      </c>
      <c r="II43" t="e">
        <f>AND(#REF!,"AAAAAHfXv/I=")</f>
        <v>#REF!</v>
      </c>
      <c r="IJ43" t="e">
        <f>AND(#REF!,"AAAAAHfXv/M=")</f>
        <v>#REF!</v>
      </c>
      <c r="IK43" t="e">
        <f>AND(#REF!,"AAAAAHfXv/Q=")</f>
        <v>#REF!</v>
      </c>
      <c r="IL43" t="e">
        <f>AND(#REF!,"AAAAAHfXv/U=")</f>
        <v>#REF!</v>
      </c>
      <c r="IM43" t="e">
        <f>AND(#REF!,"AAAAAHfXv/Y=")</f>
        <v>#REF!</v>
      </c>
      <c r="IN43" t="e">
        <f>AND(#REF!,"AAAAAHfXv/c=")</f>
        <v>#REF!</v>
      </c>
      <c r="IO43" t="e">
        <f>AND(#REF!,"AAAAAHfXv/g=")</f>
        <v>#REF!</v>
      </c>
      <c r="IP43" t="e">
        <f>AND(#REF!,"AAAAAHfXv/k=")</f>
        <v>#REF!</v>
      </c>
      <c r="IQ43" t="e">
        <f>AND(#REF!,"AAAAAHfXv/o=")</f>
        <v>#REF!</v>
      </c>
      <c r="IR43" t="e">
        <f>AND(#REF!,"AAAAAHfXv/s=")</f>
        <v>#REF!</v>
      </c>
      <c r="IS43" t="e">
        <f>IF(#REF!,"AAAAAHfXv/w=",0)</f>
        <v>#REF!</v>
      </c>
      <c r="IT43" t="e">
        <f>AND(#REF!,"AAAAAHfXv/0=")</f>
        <v>#REF!</v>
      </c>
      <c r="IU43" t="e">
        <f>AND(#REF!,"AAAAAHfXv/4=")</f>
        <v>#REF!</v>
      </c>
      <c r="IV43" t="e">
        <f>AND(#REF!,"AAAAAHfXv/8=")</f>
        <v>#REF!</v>
      </c>
    </row>
    <row r="44" spans="1:256">
      <c r="A44" t="e">
        <f>AND(#REF!,"AAAAAH1elgA=")</f>
        <v>#REF!</v>
      </c>
      <c r="B44" t="e">
        <f>AND(#REF!,"AAAAAH1elgE=")</f>
        <v>#REF!</v>
      </c>
      <c r="C44" t="e">
        <f>AND(#REF!,"AAAAAH1elgI=")</f>
        <v>#REF!</v>
      </c>
      <c r="D44" t="e">
        <f>AND(#REF!,"AAAAAH1elgM=")</f>
        <v>#REF!</v>
      </c>
      <c r="E44" t="e">
        <f>AND(#REF!,"AAAAAH1elgQ=")</f>
        <v>#REF!</v>
      </c>
      <c r="F44" t="e">
        <f>AND(#REF!,"AAAAAH1elgU=")</f>
        <v>#REF!</v>
      </c>
      <c r="G44" t="e">
        <f>AND(#REF!,"AAAAAH1elgY=")</f>
        <v>#REF!</v>
      </c>
      <c r="H44" t="e">
        <f>AND(#REF!,"AAAAAH1elgc=")</f>
        <v>#REF!</v>
      </c>
      <c r="I44" t="e">
        <f>AND(#REF!,"AAAAAH1elgg=")</f>
        <v>#REF!</v>
      </c>
      <c r="J44" t="e">
        <f>AND(#REF!,"AAAAAH1elgk=")</f>
        <v>#REF!</v>
      </c>
      <c r="K44" t="e">
        <f>AND(#REF!,"AAAAAH1elgo=")</f>
        <v>#REF!</v>
      </c>
      <c r="L44" t="e">
        <f>IF(#REF!,"AAAAAH1elgs=",0)</f>
        <v>#REF!</v>
      </c>
      <c r="M44" t="e">
        <f>AND(#REF!,"AAAAAH1elgw=")</f>
        <v>#REF!</v>
      </c>
      <c r="N44" t="e">
        <f>AND(#REF!,"AAAAAH1elg0=")</f>
        <v>#REF!</v>
      </c>
      <c r="O44" t="e">
        <f>AND(#REF!,"AAAAAH1elg4=")</f>
        <v>#REF!</v>
      </c>
      <c r="P44" t="e">
        <f>AND(#REF!,"AAAAAH1elg8=")</f>
        <v>#REF!</v>
      </c>
      <c r="Q44" t="e">
        <f>AND(#REF!,"AAAAAH1elhA=")</f>
        <v>#REF!</v>
      </c>
      <c r="R44" t="e">
        <f>AND(#REF!,"AAAAAH1elhE=")</f>
        <v>#REF!</v>
      </c>
      <c r="S44" t="e">
        <f>AND(#REF!,"AAAAAH1elhI=")</f>
        <v>#REF!</v>
      </c>
      <c r="T44" t="e">
        <f>AND(#REF!,"AAAAAH1elhM=")</f>
        <v>#REF!</v>
      </c>
      <c r="U44" t="e">
        <f>AND(#REF!,"AAAAAH1elhQ=")</f>
        <v>#REF!</v>
      </c>
      <c r="V44" t="e">
        <f>AND(#REF!,"AAAAAH1elhU=")</f>
        <v>#REF!</v>
      </c>
      <c r="W44" t="e">
        <f>AND(#REF!,"AAAAAH1elhY=")</f>
        <v>#REF!</v>
      </c>
      <c r="X44" t="e">
        <f>AND(#REF!,"AAAAAH1elhc=")</f>
        <v>#REF!</v>
      </c>
      <c r="Y44" t="e">
        <f>AND(#REF!,"AAAAAH1elhg=")</f>
        <v>#REF!</v>
      </c>
      <c r="Z44" t="e">
        <f>AND(#REF!,"AAAAAH1elhk=")</f>
        <v>#REF!</v>
      </c>
      <c r="AA44" t="e">
        <f>IF(#REF!,"AAAAAH1elho=",0)</f>
        <v>#REF!</v>
      </c>
      <c r="AB44" t="e">
        <f>AND(#REF!,"AAAAAH1elhs=")</f>
        <v>#REF!</v>
      </c>
      <c r="AC44" t="e">
        <f>AND(#REF!,"AAAAAH1elhw=")</f>
        <v>#REF!</v>
      </c>
      <c r="AD44" t="e">
        <f>AND(#REF!,"AAAAAH1elh0=")</f>
        <v>#REF!</v>
      </c>
      <c r="AE44" t="e">
        <f>AND(#REF!,"AAAAAH1elh4=")</f>
        <v>#REF!</v>
      </c>
      <c r="AF44" t="e">
        <f>AND(#REF!,"AAAAAH1elh8=")</f>
        <v>#REF!</v>
      </c>
      <c r="AG44" t="e">
        <f>AND(#REF!,"AAAAAH1eliA=")</f>
        <v>#REF!</v>
      </c>
      <c r="AH44" t="e">
        <f>AND(#REF!,"AAAAAH1eliE=")</f>
        <v>#REF!</v>
      </c>
      <c r="AI44" t="e">
        <f>AND(#REF!,"AAAAAH1eliI=")</f>
        <v>#REF!</v>
      </c>
      <c r="AJ44" t="e">
        <f>AND(#REF!,"AAAAAH1eliM=")</f>
        <v>#REF!</v>
      </c>
      <c r="AK44" t="e">
        <f>AND(#REF!,"AAAAAH1eliQ=")</f>
        <v>#REF!</v>
      </c>
      <c r="AL44" t="e">
        <f>AND(#REF!,"AAAAAH1eliU=")</f>
        <v>#REF!</v>
      </c>
      <c r="AM44" t="e">
        <f>AND(#REF!,"AAAAAH1eliY=")</f>
        <v>#REF!</v>
      </c>
      <c r="AN44" t="e">
        <f>AND(#REF!,"AAAAAH1elic=")</f>
        <v>#REF!</v>
      </c>
      <c r="AO44" t="e">
        <f>AND(#REF!,"AAAAAH1elig=")</f>
        <v>#REF!</v>
      </c>
      <c r="AP44" t="e">
        <f>IF(#REF!,"AAAAAH1elik=",0)</f>
        <v>#REF!</v>
      </c>
      <c r="AQ44" t="e">
        <f>AND(#REF!,"AAAAAH1elio=")</f>
        <v>#REF!</v>
      </c>
      <c r="AR44" t="e">
        <f>AND(#REF!,"AAAAAH1elis=")</f>
        <v>#REF!</v>
      </c>
      <c r="AS44" t="e">
        <f>AND(#REF!,"AAAAAH1eliw=")</f>
        <v>#REF!</v>
      </c>
      <c r="AT44" t="e">
        <f>AND(#REF!,"AAAAAH1eli0=")</f>
        <v>#REF!</v>
      </c>
      <c r="AU44" t="e">
        <f>AND(#REF!,"AAAAAH1eli4=")</f>
        <v>#REF!</v>
      </c>
      <c r="AV44" t="e">
        <f>AND(#REF!,"AAAAAH1eli8=")</f>
        <v>#REF!</v>
      </c>
      <c r="AW44" t="e">
        <f>AND(#REF!,"AAAAAH1eljA=")</f>
        <v>#REF!</v>
      </c>
      <c r="AX44" t="e">
        <f>AND(#REF!,"AAAAAH1eljE=")</f>
        <v>#REF!</v>
      </c>
      <c r="AY44" t="e">
        <f>AND(#REF!,"AAAAAH1eljI=")</f>
        <v>#REF!</v>
      </c>
      <c r="AZ44" t="e">
        <f>AND(#REF!,"AAAAAH1eljM=")</f>
        <v>#REF!</v>
      </c>
      <c r="BA44" t="e">
        <f>AND(#REF!,"AAAAAH1eljQ=")</f>
        <v>#REF!</v>
      </c>
      <c r="BB44" t="e">
        <f>AND(#REF!,"AAAAAH1eljU=")</f>
        <v>#REF!</v>
      </c>
      <c r="BC44" t="e">
        <f>AND(#REF!,"AAAAAH1eljY=")</f>
        <v>#REF!</v>
      </c>
      <c r="BD44" t="e">
        <f>AND(#REF!,"AAAAAH1eljc=")</f>
        <v>#REF!</v>
      </c>
      <c r="BE44" t="e">
        <f>IF(#REF!,"AAAAAH1eljg=",0)</f>
        <v>#REF!</v>
      </c>
      <c r="BF44" t="e">
        <f>AND(#REF!,"AAAAAH1eljk=")</f>
        <v>#REF!</v>
      </c>
      <c r="BG44" t="e">
        <f>AND(#REF!,"AAAAAH1eljo=")</f>
        <v>#REF!</v>
      </c>
      <c r="BH44" t="e">
        <f>AND(#REF!,"AAAAAH1eljs=")</f>
        <v>#REF!</v>
      </c>
      <c r="BI44" t="e">
        <f>AND(#REF!,"AAAAAH1eljw=")</f>
        <v>#REF!</v>
      </c>
      <c r="BJ44" t="e">
        <f>AND(#REF!,"AAAAAH1elj0=")</f>
        <v>#REF!</v>
      </c>
      <c r="BK44" t="e">
        <f>AND(#REF!,"AAAAAH1elj4=")</f>
        <v>#REF!</v>
      </c>
      <c r="BL44" t="e">
        <f>AND(#REF!,"AAAAAH1elj8=")</f>
        <v>#REF!</v>
      </c>
      <c r="BM44" t="e">
        <f>AND(#REF!,"AAAAAH1elkA=")</f>
        <v>#REF!</v>
      </c>
      <c r="BN44" t="e">
        <f>AND(#REF!,"AAAAAH1elkE=")</f>
        <v>#REF!</v>
      </c>
      <c r="BO44" t="e">
        <f>AND(#REF!,"AAAAAH1elkI=")</f>
        <v>#REF!</v>
      </c>
      <c r="BP44" t="e">
        <f>AND(#REF!,"AAAAAH1elkM=")</f>
        <v>#REF!</v>
      </c>
      <c r="BQ44" t="e">
        <f>AND(#REF!,"AAAAAH1elkQ=")</f>
        <v>#REF!</v>
      </c>
      <c r="BR44" t="e">
        <f>AND(#REF!,"AAAAAH1elkU=")</f>
        <v>#REF!</v>
      </c>
      <c r="BS44" t="e">
        <f>AND(#REF!,"AAAAAH1elkY=")</f>
        <v>#REF!</v>
      </c>
      <c r="BT44" t="e">
        <f>IF(#REF!,"AAAAAH1elkc=",0)</f>
        <v>#REF!</v>
      </c>
      <c r="BU44" t="e">
        <f>AND(#REF!,"AAAAAH1elkg=")</f>
        <v>#REF!</v>
      </c>
      <c r="BV44" t="e">
        <f>AND(#REF!,"AAAAAH1elkk=")</f>
        <v>#REF!</v>
      </c>
      <c r="BW44" t="e">
        <f>AND(#REF!,"AAAAAH1elko=")</f>
        <v>#REF!</v>
      </c>
      <c r="BX44" t="e">
        <f>AND(#REF!,"AAAAAH1elks=")</f>
        <v>#REF!</v>
      </c>
      <c r="BY44" t="e">
        <f>AND(#REF!,"AAAAAH1elkw=")</f>
        <v>#REF!</v>
      </c>
      <c r="BZ44" t="e">
        <f>AND(#REF!,"AAAAAH1elk0=")</f>
        <v>#REF!</v>
      </c>
      <c r="CA44" t="e">
        <f>AND(#REF!,"AAAAAH1elk4=")</f>
        <v>#REF!</v>
      </c>
      <c r="CB44" t="e">
        <f>AND(#REF!,"AAAAAH1elk8=")</f>
        <v>#REF!</v>
      </c>
      <c r="CC44" t="e">
        <f>AND(#REF!,"AAAAAH1ellA=")</f>
        <v>#REF!</v>
      </c>
      <c r="CD44" t="e">
        <f>AND(#REF!,"AAAAAH1ellE=")</f>
        <v>#REF!</v>
      </c>
      <c r="CE44" t="e">
        <f>AND(#REF!,"AAAAAH1ellI=")</f>
        <v>#REF!</v>
      </c>
      <c r="CF44" t="e">
        <f>AND(#REF!,"AAAAAH1ellM=")</f>
        <v>#REF!</v>
      </c>
      <c r="CG44" t="e">
        <f>AND(#REF!,"AAAAAH1ellQ=")</f>
        <v>#REF!</v>
      </c>
      <c r="CH44" t="e">
        <f>AND(#REF!,"AAAAAH1ellU=")</f>
        <v>#REF!</v>
      </c>
      <c r="CI44" t="e">
        <f>IF(#REF!,"AAAAAH1ellY=",0)</f>
        <v>#REF!</v>
      </c>
      <c r="CJ44" t="e">
        <f>AND(#REF!,"AAAAAH1ellc=")</f>
        <v>#REF!</v>
      </c>
      <c r="CK44" t="e">
        <f>AND(#REF!,"AAAAAH1ellg=")</f>
        <v>#REF!</v>
      </c>
      <c r="CL44" t="e">
        <f>AND(#REF!,"AAAAAH1ellk=")</f>
        <v>#REF!</v>
      </c>
      <c r="CM44" t="e">
        <f>AND(#REF!,"AAAAAH1ello=")</f>
        <v>#REF!</v>
      </c>
      <c r="CN44" t="e">
        <f>AND(#REF!,"AAAAAH1ells=")</f>
        <v>#REF!</v>
      </c>
      <c r="CO44" t="e">
        <f>AND(#REF!,"AAAAAH1ellw=")</f>
        <v>#REF!</v>
      </c>
      <c r="CP44" t="e">
        <f>AND(#REF!,"AAAAAH1ell0=")</f>
        <v>#REF!</v>
      </c>
      <c r="CQ44" t="e">
        <f>AND(#REF!,"AAAAAH1ell4=")</f>
        <v>#REF!</v>
      </c>
      <c r="CR44" t="e">
        <f>AND(#REF!,"AAAAAH1ell8=")</f>
        <v>#REF!</v>
      </c>
      <c r="CS44" t="e">
        <f>AND(#REF!,"AAAAAH1elmA=")</f>
        <v>#REF!</v>
      </c>
      <c r="CT44" t="e">
        <f>AND(#REF!,"AAAAAH1elmE=")</f>
        <v>#REF!</v>
      </c>
      <c r="CU44" t="e">
        <f>AND(#REF!,"AAAAAH1elmI=")</f>
        <v>#REF!</v>
      </c>
      <c r="CV44" t="e">
        <f>AND(#REF!,"AAAAAH1elmM=")</f>
        <v>#REF!</v>
      </c>
      <c r="CW44" t="e">
        <f>AND(#REF!,"AAAAAH1elmQ=")</f>
        <v>#REF!</v>
      </c>
      <c r="CX44" t="e">
        <f>IF(#REF!,"AAAAAH1elmU=",0)</f>
        <v>#REF!</v>
      </c>
      <c r="CY44" t="e">
        <f>AND(#REF!,"AAAAAH1elmY=")</f>
        <v>#REF!</v>
      </c>
      <c r="CZ44" t="e">
        <f>AND(#REF!,"AAAAAH1elmc=")</f>
        <v>#REF!</v>
      </c>
      <c r="DA44" t="e">
        <f>AND(#REF!,"AAAAAH1elmg=")</f>
        <v>#REF!</v>
      </c>
      <c r="DB44" t="e">
        <f>AND(#REF!,"AAAAAH1elmk=")</f>
        <v>#REF!</v>
      </c>
      <c r="DC44" t="e">
        <f>AND(#REF!,"AAAAAH1elmo=")</f>
        <v>#REF!</v>
      </c>
      <c r="DD44" t="e">
        <f>AND(#REF!,"AAAAAH1elms=")</f>
        <v>#REF!</v>
      </c>
      <c r="DE44" t="e">
        <f>AND(#REF!,"AAAAAH1elmw=")</f>
        <v>#REF!</v>
      </c>
      <c r="DF44" t="e">
        <f>AND(#REF!,"AAAAAH1elm0=")</f>
        <v>#REF!</v>
      </c>
      <c r="DG44" t="e">
        <f>AND(#REF!,"AAAAAH1elm4=")</f>
        <v>#REF!</v>
      </c>
      <c r="DH44" t="e">
        <f>AND(#REF!,"AAAAAH1elm8=")</f>
        <v>#REF!</v>
      </c>
      <c r="DI44" t="e">
        <f>AND(#REF!,"AAAAAH1elnA=")</f>
        <v>#REF!</v>
      </c>
      <c r="DJ44" t="e">
        <f>AND(#REF!,"AAAAAH1elnE=")</f>
        <v>#REF!</v>
      </c>
      <c r="DK44" t="e">
        <f>AND(#REF!,"AAAAAH1elnI=")</f>
        <v>#REF!</v>
      </c>
      <c r="DL44" t="e">
        <f>AND(#REF!,"AAAAAH1elnM=")</f>
        <v>#REF!</v>
      </c>
      <c r="DM44" t="e">
        <f>IF(#REF!,"AAAAAH1elnQ=",0)</f>
        <v>#REF!</v>
      </c>
      <c r="DN44" t="e">
        <f>AND(#REF!,"AAAAAH1elnU=")</f>
        <v>#REF!</v>
      </c>
      <c r="DO44" t="e">
        <f>AND(#REF!,"AAAAAH1elnY=")</f>
        <v>#REF!</v>
      </c>
      <c r="DP44" t="e">
        <f>AND(#REF!,"AAAAAH1elnc=")</f>
        <v>#REF!</v>
      </c>
      <c r="DQ44" t="e">
        <f>AND(#REF!,"AAAAAH1elng=")</f>
        <v>#REF!</v>
      </c>
      <c r="DR44" t="e">
        <f>AND(#REF!,"AAAAAH1elnk=")</f>
        <v>#REF!</v>
      </c>
      <c r="DS44" t="e">
        <f>AND(#REF!,"AAAAAH1elno=")</f>
        <v>#REF!</v>
      </c>
      <c r="DT44" t="e">
        <f>AND(#REF!,"AAAAAH1elns=")</f>
        <v>#REF!</v>
      </c>
      <c r="DU44" t="e">
        <f>AND(#REF!,"AAAAAH1elnw=")</f>
        <v>#REF!</v>
      </c>
      <c r="DV44" t="e">
        <f>AND(#REF!,"AAAAAH1eln0=")</f>
        <v>#REF!</v>
      </c>
      <c r="DW44" t="e">
        <f>AND(#REF!,"AAAAAH1eln4=")</f>
        <v>#REF!</v>
      </c>
      <c r="DX44" t="e">
        <f>AND(#REF!,"AAAAAH1eln8=")</f>
        <v>#REF!</v>
      </c>
      <c r="DY44" t="e">
        <f>AND(#REF!,"AAAAAH1eloA=")</f>
        <v>#REF!</v>
      </c>
      <c r="DZ44" t="e">
        <f>AND(#REF!,"AAAAAH1eloE=")</f>
        <v>#REF!</v>
      </c>
      <c r="EA44" t="e">
        <f>AND(#REF!,"AAAAAH1eloI=")</f>
        <v>#REF!</v>
      </c>
      <c r="EB44" t="e">
        <f>IF(#REF!,"AAAAAH1eloM=",0)</f>
        <v>#REF!</v>
      </c>
      <c r="EC44" t="e">
        <f>AND(#REF!,"AAAAAH1eloQ=")</f>
        <v>#REF!</v>
      </c>
      <c r="ED44" t="e">
        <f>AND(#REF!,"AAAAAH1eloU=")</f>
        <v>#REF!</v>
      </c>
      <c r="EE44" t="e">
        <f>AND(#REF!,"AAAAAH1eloY=")</f>
        <v>#REF!</v>
      </c>
      <c r="EF44" t="e">
        <f>AND(#REF!,"AAAAAH1eloc=")</f>
        <v>#REF!</v>
      </c>
      <c r="EG44" t="e">
        <f>AND(#REF!,"AAAAAH1elog=")</f>
        <v>#REF!</v>
      </c>
      <c r="EH44" t="e">
        <f>AND(#REF!,"AAAAAH1elok=")</f>
        <v>#REF!</v>
      </c>
      <c r="EI44" t="e">
        <f>AND(#REF!,"AAAAAH1eloo=")</f>
        <v>#REF!</v>
      </c>
      <c r="EJ44" t="e">
        <f>AND(#REF!,"AAAAAH1elos=")</f>
        <v>#REF!</v>
      </c>
      <c r="EK44" t="e">
        <f>AND(#REF!,"AAAAAH1elow=")</f>
        <v>#REF!</v>
      </c>
      <c r="EL44" t="e">
        <f>AND(#REF!,"AAAAAH1elo0=")</f>
        <v>#REF!</v>
      </c>
      <c r="EM44" t="e">
        <f>AND(#REF!,"AAAAAH1elo4=")</f>
        <v>#REF!</v>
      </c>
      <c r="EN44" t="e">
        <f>AND(#REF!,"AAAAAH1elo8=")</f>
        <v>#REF!</v>
      </c>
      <c r="EO44" t="e">
        <f>AND(#REF!,"AAAAAH1elpA=")</f>
        <v>#REF!</v>
      </c>
      <c r="EP44" t="e">
        <f>AND(#REF!,"AAAAAH1elpE=")</f>
        <v>#REF!</v>
      </c>
      <c r="EQ44" t="e">
        <f>IF(#REF!,"AAAAAH1elpI=",0)</f>
        <v>#REF!</v>
      </c>
      <c r="ER44" t="e">
        <f>AND(#REF!,"AAAAAH1elpM=")</f>
        <v>#REF!</v>
      </c>
      <c r="ES44" t="e">
        <f>AND(#REF!,"AAAAAH1elpQ=")</f>
        <v>#REF!</v>
      </c>
      <c r="ET44" t="e">
        <f>AND(#REF!,"AAAAAH1elpU=")</f>
        <v>#REF!</v>
      </c>
      <c r="EU44" t="e">
        <f>AND(#REF!,"AAAAAH1elpY=")</f>
        <v>#REF!</v>
      </c>
      <c r="EV44" t="e">
        <f>AND(#REF!,"AAAAAH1elpc=")</f>
        <v>#REF!</v>
      </c>
      <c r="EW44" t="e">
        <f>AND(#REF!,"AAAAAH1elpg=")</f>
        <v>#REF!</v>
      </c>
      <c r="EX44" t="e">
        <f>AND(#REF!,"AAAAAH1elpk=")</f>
        <v>#REF!</v>
      </c>
      <c r="EY44" t="e">
        <f>AND(#REF!,"AAAAAH1elpo=")</f>
        <v>#REF!</v>
      </c>
      <c r="EZ44" t="e">
        <f>AND(#REF!,"AAAAAH1elps=")</f>
        <v>#REF!</v>
      </c>
      <c r="FA44" t="e">
        <f>AND(#REF!,"AAAAAH1elpw=")</f>
        <v>#REF!</v>
      </c>
      <c r="FB44" t="e">
        <f>AND(#REF!,"AAAAAH1elp0=")</f>
        <v>#REF!</v>
      </c>
      <c r="FC44" t="e">
        <f>AND(#REF!,"AAAAAH1elp4=")</f>
        <v>#REF!</v>
      </c>
      <c r="FD44" t="e">
        <f>AND(#REF!,"AAAAAH1elp8=")</f>
        <v>#REF!</v>
      </c>
      <c r="FE44" t="e">
        <f>AND(#REF!,"AAAAAH1elqA=")</f>
        <v>#REF!</v>
      </c>
      <c r="FF44" t="e">
        <f>IF(#REF!,"AAAAAH1elqE=",0)</f>
        <v>#REF!</v>
      </c>
      <c r="FG44" t="e">
        <f>AND(#REF!,"AAAAAH1elqI=")</f>
        <v>#REF!</v>
      </c>
      <c r="FH44" t="e">
        <f>AND(#REF!,"AAAAAH1elqM=")</f>
        <v>#REF!</v>
      </c>
      <c r="FI44" t="e">
        <f>AND(#REF!,"AAAAAH1elqQ=")</f>
        <v>#REF!</v>
      </c>
      <c r="FJ44" t="e">
        <f>AND(#REF!,"AAAAAH1elqU=")</f>
        <v>#REF!</v>
      </c>
      <c r="FK44" t="e">
        <f>AND(#REF!,"AAAAAH1elqY=")</f>
        <v>#REF!</v>
      </c>
      <c r="FL44" t="e">
        <f>AND(#REF!,"AAAAAH1elqc=")</f>
        <v>#REF!</v>
      </c>
      <c r="FM44" t="e">
        <f>AND(#REF!,"AAAAAH1elqg=")</f>
        <v>#REF!</v>
      </c>
      <c r="FN44" t="e">
        <f>AND(#REF!,"AAAAAH1elqk=")</f>
        <v>#REF!</v>
      </c>
      <c r="FO44" t="e">
        <f>AND(#REF!,"AAAAAH1elqo=")</f>
        <v>#REF!</v>
      </c>
      <c r="FP44" t="e">
        <f>AND(#REF!,"AAAAAH1elqs=")</f>
        <v>#REF!</v>
      </c>
      <c r="FQ44" t="e">
        <f>AND(#REF!,"AAAAAH1elqw=")</f>
        <v>#REF!</v>
      </c>
      <c r="FR44" t="e">
        <f>AND(#REF!,"AAAAAH1elq0=")</f>
        <v>#REF!</v>
      </c>
      <c r="FS44" t="e">
        <f>AND(#REF!,"AAAAAH1elq4=")</f>
        <v>#REF!</v>
      </c>
      <c r="FT44" t="e">
        <f>AND(#REF!,"AAAAAH1elq8=")</f>
        <v>#REF!</v>
      </c>
      <c r="FU44" t="e">
        <f>IF(#REF!,"AAAAAH1elrA=",0)</f>
        <v>#REF!</v>
      </c>
      <c r="FV44" t="e">
        <f>AND(#REF!,"AAAAAH1elrE=")</f>
        <v>#REF!</v>
      </c>
      <c r="FW44" t="e">
        <f>AND(#REF!,"AAAAAH1elrI=")</f>
        <v>#REF!</v>
      </c>
      <c r="FX44" t="e">
        <f>AND(#REF!,"AAAAAH1elrM=")</f>
        <v>#REF!</v>
      </c>
      <c r="FY44" t="e">
        <f>AND(#REF!,"AAAAAH1elrQ=")</f>
        <v>#REF!</v>
      </c>
      <c r="FZ44" t="e">
        <f>AND(#REF!,"AAAAAH1elrU=")</f>
        <v>#REF!</v>
      </c>
      <c r="GA44" t="e">
        <f>AND(#REF!,"AAAAAH1elrY=")</f>
        <v>#REF!</v>
      </c>
      <c r="GB44" t="e">
        <f>AND(#REF!,"AAAAAH1elrc=")</f>
        <v>#REF!</v>
      </c>
      <c r="GC44" t="e">
        <f>AND(#REF!,"AAAAAH1elrg=")</f>
        <v>#REF!</v>
      </c>
      <c r="GD44" t="e">
        <f>AND(#REF!,"AAAAAH1elrk=")</f>
        <v>#REF!</v>
      </c>
      <c r="GE44" t="e">
        <f>AND(#REF!,"AAAAAH1elro=")</f>
        <v>#REF!</v>
      </c>
      <c r="GF44" t="e">
        <f>AND(#REF!,"AAAAAH1elrs=")</f>
        <v>#REF!</v>
      </c>
      <c r="GG44" t="e">
        <f>AND(#REF!,"AAAAAH1elrw=")</f>
        <v>#REF!</v>
      </c>
      <c r="GH44" t="e">
        <f>AND(#REF!,"AAAAAH1elr0=")</f>
        <v>#REF!</v>
      </c>
      <c r="GI44" t="e">
        <f>AND(#REF!,"AAAAAH1elr4=")</f>
        <v>#REF!</v>
      </c>
      <c r="GJ44" t="e">
        <f>IF(#REF!,"AAAAAH1elr8=",0)</f>
        <v>#REF!</v>
      </c>
      <c r="GK44" t="e">
        <f>AND(#REF!,"AAAAAH1elsA=")</f>
        <v>#REF!</v>
      </c>
      <c r="GL44" t="e">
        <f>AND(#REF!,"AAAAAH1elsE=")</f>
        <v>#REF!</v>
      </c>
      <c r="GM44" t="e">
        <f>AND(#REF!,"AAAAAH1elsI=")</f>
        <v>#REF!</v>
      </c>
      <c r="GN44" t="e">
        <f>AND(#REF!,"AAAAAH1elsM=")</f>
        <v>#REF!</v>
      </c>
      <c r="GO44" t="e">
        <f>AND(#REF!,"AAAAAH1elsQ=")</f>
        <v>#REF!</v>
      </c>
      <c r="GP44" t="e">
        <f>AND(#REF!,"AAAAAH1elsU=")</f>
        <v>#REF!</v>
      </c>
      <c r="GQ44" t="e">
        <f>AND(#REF!,"AAAAAH1elsY=")</f>
        <v>#REF!</v>
      </c>
      <c r="GR44" t="e">
        <f>AND(#REF!,"AAAAAH1elsc=")</f>
        <v>#REF!</v>
      </c>
      <c r="GS44" t="e">
        <f>AND(#REF!,"AAAAAH1elsg=")</f>
        <v>#REF!</v>
      </c>
      <c r="GT44" t="e">
        <f>AND(#REF!,"AAAAAH1elsk=")</f>
        <v>#REF!</v>
      </c>
      <c r="GU44" t="e">
        <f>AND(#REF!,"AAAAAH1elso=")</f>
        <v>#REF!</v>
      </c>
      <c r="GV44" t="e">
        <f>AND(#REF!,"AAAAAH1elss=")</f>
        <v>#REF!</v>
      </c>
      <c r="GW44" t="e">
        <f>AND(#REF!,"AAAAAH1elsw=")</f>
        <v>#REF!</v>
      </c>
      <c r="GX44" t="e">
        <f>AND(#REF!,"AAAAAH1els0=")</f>
        <v>#REF!</v>
      </c>
      <c r="GY44" t="e">
        <f>IF(#REF!,"AAAAAH1els4=",0)</f>
        <v>#REF!</v>
      </c>
      <c r="GZ44" t="e">
        <f>AND(#REF!,"AAAAAH1els8=")</f>
        <v>#REF!</v>
      </c>
      <c r="HA44" t="e">
        <f>AND(#REF!,"AAAAAH1eltA=")</f>
        <v>#REF!</v>
      </c>
      <c r="HB44" t="e">
        <f>AND(#REF!,"AAAAAH1eltE=")</f>
        <v>#REF!</v>
      </c>
      <c r="HC44" t="e">
        <f>AND(#REF!,"AAAAAH1eltI=")</f>
        <v>#REF!</v>
      </c>
      <c r="HD44" t="e">
        <f>AND(#REF!,"AAAAAH1eltM=")</f>
        <v>#REF!</v>
      </c>
      <c r="HE44" t="e">
        <f>AND(#REF!,"AAAAAH1eltQ=")</f>
        <v>#REF!</v>
      </c>
      <c r="HF44" t="e">
        <f>AND(#REF!,"AAAAAH1eltU=")</f>
        <v>#REF!</v>
      </c>
      <c r="HG44" t="e">
        <f>AND(#REF!,"AAAAAH1eltY=")</f>
        <v>#REF!</v>
      </c>
      <c r="HH44" t="e">
        <f>AND(#REF!,"AAAAAH1eltc=")</f>
        <v>#REF!</v>
      </c>
      <c r="HI44" t="e">
        <f>AND(#REF!,"AAAAAH1eltg=")</f>
        <v>#REF!</v>
      </c>
      <c r="HJ44" t="e">
        <f>AND(#REF!,"AAAAAH1eltk=")</f>
        <v>#REF!</v>
      </c>
      <c r="HK44" t="e">
        <f>AND(#REF!,"AAAAAH1elto=")</f>
        <v>#REF!</v>
      </c>
      <c r="HL44" t="e">
        <f>AND(#REF!,"AAAAAH1elts=")</f>
        <v>#REF!</v>
      </c>
      <c r="HM44" t="e">
        <f>AND(#REF!,"AAAAAH1eltw=")</f>
        <v>#REF!</v>
      </c>
      <c r="HN44" t="e">
        <f>IF(#REF!,"AAAAAH1elt0=",0)</f>
        <v>#REF!</v>
      </c>
      <c r="HO44" t="e">
        <f>AND(#REF!,"AAAAAH1elt4=")</f>
        <v>#REF!</v>
      </c>
      <c r="HP44" t="e">
        <f>AND(#REF!,"AAAAAH1elt8=")</f>
        <v>#REF!</v>
      </c>
      <c r="HQ44" t="e">
        <f>AND(#REF!,"AAAAAH1eluA=")</f>
        <v>#REF!</v>
      </c>
      <c r="HR44" t="e">
        <f>AND(#REF!,"AAAAAH1eluE=")</f>
        <v>#REF!</v>
      </c>
      <c r="HS44" t="e">
        <f>AND(#REF!,"AAAAAH1eluI=")</f>
        <v>#REF!</v>
      </c>
      <c r="HT44" t="e">
        <f>AND(#REF!,"AAAAAH1eluM=")</f>
        <v>#REF!</v>
      </c>
      <c r="HU44" t="e">
        <f>AND(#REF!,"AAAAAH1eluQ=")</f>
        <v>#REF!</v>
      </c>
      <c r="HV44" t="e">
        <f>AND(#REF!,"AAAAAH1eluU=")</f>
        <v>#REF!</v>
      </c>
      <c r="HW44" t="e">
        <f>AND(#REF!,"AAAAAH1eluY=")</f>
        <v>#REF!</v>
      </c>
      <c r="HX44" t="e">
        <f>AND(#REF!,"AAAAAH1eluc=")</f>
        <v>#REF!</v>
      </c>
      <c r="HY44" t="e">
        <f>AND(#REF!,"AAAAAH1elug=")</f>
        <v>#REF!</v>
      </c>
      <c r="HZ44" t="e">
        <f>AND(#REF!,"AAAAAH1eluk=")</f>
        <v>#REF!</v>
      </c>
      <c r="IA44" t="e">
        <f>AND(#REF!,"AAAAAH1eluo=")</f>
        <v>#REF!</v>
      </c>
      <c r="IB44" t="e">
        <f>AND(#REF!,"AAAAAH1elus=")</f>
        <v>#REF!</v>
      </c>
      <c r="IC44" t="e">
        <f>IF(#REF!,"AAAAAH1eluw=",0)</f>
        <v>#REF!</v>
      </c>
      <c r="ID44" t="e">
        <f>AND(#REF!,"AAAAAH1elu0=")</f>
        <v>#REF!</v>
      </c>
      <c r="IE44" t="e">
        <f>AND(#REF!,"AAAAAH1elu4=")</f>
        <v>#REF!</v>
      </c>
      <c r="IF44" t="e">
        <f>AND(#REF!,"AAAAAH1elu8=")</f>
        <v>#REF!</v>
      </c>
      <c r="IG44" t="e">
        <f>AND(#REF!,"AAAAAH1elvA=")</f>
        <v>#REF!</v>
      </c>
      <c r="IH44" t="e">
        <f>AND(#REF!,"AAAAAH1elvE=")</f>
        <v>#REF!</v>
      </c>
      <c r="II44" t="e">
        <f>AND(#REF!,"AAAAAH1elvI=")</f>
        <v>#REF!</v>
      </c>
      <c r="IJ44" t="e">
        <f>AND(#REF!,"AAAAAH1elvM=")</f>
        <v>#REF!</v>
      </c>
      <c r="IK44" t="e">
        <f>AND(#REF!,"AAAAAH1elvQ=")</f>
        <v>#REF!</v>
      </c>
      <c r="IL44" t="e">
        <f>AND(#REF!,"AAAAAH1elvU=")</f>
        <v>#REF!</v>
      </c>
      <c r="IM44" t="e">
        <f>AND(#REF!,"AAAAAH1elvY=")</f>
        <v>#REF!</v>
      </c>
      <c r="IN44" t="e">
        <f>AND(#REF!,"AAAAAH1elvc=")</f>
        <v>#REF!</v>
      </c>
      <c r="IO44" t="e">
        <f>AND(#REF!,"AAAAAH1elvg=")</f>
        <v>#REF!</v>
      </c>
      <c r="IP44" t="e">
        <f>AND(#REF!,"AAAAAH1elvk=")</f>
        <v>#REF!</v>
      </c>
      <c r="IQ44" t="e">
        <f>AND(#REF!,"AAAAAH1elvo=")</f>
        <v>#REF!</v>
      </c>
      <c r="IR44" t="e">
        <f>IF(#REF!,"AAAAAH1elvs=",0)</f>
        <v>#REF!</v>
      </c>
      <c r="IS44" t="e">
        <f>AND(#REF!,"AAAAAH1elvw=")</f>
        <v>#REF!</v>
      </c>
      <c r="IT44" t="e">
        <f>AND(#REF!,"AAAAAH1elv0=")</f>
        <v>#REF!</v>
      </c>
      <c r="IU44" t="e">
        <f>AND(#REF!,"AAAAAH1elv4=")</f>
        <v>#REF!</v>
      </c>
      <c r="IV44" t="e">
        <f>AND(#REF!,"AAAAAH1elv8=")</f>
        <v>#REF!</v>
      </c>
    </row>
    <row r="45" spans="1:256">
      <c r="A45" t="e">
        <f>AND(#REF!,"AAAAAH7sPwA=")</f>
        <v>#REF!</v>
      </c>
      <c r="B45" t="e">
        <f>AND(#REF!,"AAAAAH7sPwE=")</f>
        <v>#REF!</v>
      </c>
      <c r="C45" t="e">
        <f>AND(#REF!,"AAAAAH7sPwI=")</f>
        <v>#REF!</v>
      </c>
      <c r="D45" t="e">
        <f>AND(#REF!,"AAAAAH7sPwM=")</f>
        <v>#REF!</v>
      </c>
      <c r="E45" t="e">
        <f>AND(#REF!,"AAAAAH7sPwQ=")</f>
        <v>#REF!</v>
      </c>
      <c r="F45" t="e">
        <f>AND(#REF!,"AAAAAH7sPwU=")</f>
        <v>#REF!</v>
      </c>
      <c r="G45" t="e">
        <f>AND(#REF!,"AAAAAH7sPwY=")</f>
        <v>#REF!</v>
      </c>
      <c r="H45" t="e">
        <f>AND(#REF!,"AAAAAH7sPwc=")</f>
        <v>#REF!</v>
      </c>
      <c r="I45" t="e">
        <f>AND(#REF!,"AAAAAH7sPwg=")</f>
        <v>#REF!</v>
      </c>
      <c r="J45" t="e">
        <f>AND(#REF!,"AAAAAH7sPwk=")</f>
        <v>#REF!</v>
      </c>
      <c r="K45" t="e">
        <f>IF(#REF!,"AAAAAH7sPwo=",0)</f>
        <v>#REF!</v>
      </c>
      <c r="L45" t="e">
        <f>AND(#REF!,"AAAAAH7sPws=")</f>
        <v>#REF!</v>
      </c>
      <c r="M45" t="e">
        <f>AND(#REF!,"AAAAAH7sPww=")</f>
        <v>#REF!</v>
      </c>
      <c r="N45" t="e">
        <f>AND(#REF!,"AAAAAH7sPw0=")</f>
        <v>#REF!</v>
      </c>
      <c r="O45" t="e">
        <f>AND(#REF!,"AAAAAH7sPw4=")</f>
        <v>#REF!</v>
      </c>
      <c r="P45" t="e">
        <f>AND(#REF!,"AAAAAH7sPw8=")</f>
        <v>#REF!</v>
      </c>
      <c r="Q45" t="e">
        <f>AND(#REF!,"AAAAAH7sPxA=")</f>
        <v>#REF!</v>
      </c>
      <c r="R45" t="e">
        <f>AND(#REF!,"AAAAAH7sPxE=")</f>
        <v>#REF!</v>
      </c>
      <c r="S45" t="e">
        <f>AND(#REF!,"AAAAAH7sPxI=")</f>
        <v>#REF!</v>
      </c>
      <c r="T45" t="e">
        <f>AND(#REF!,"AAAAAH7sPxM=")</f>
        <v>#REF!</v>
      </c>
      <c r="U45" t="e">
        <f>AND(#REF!,"AAAAAH7sPxQ=")</f>
        <v>#REF!</v>
      </c>
      <c r="V45" t="e">
        <f>AND(#REF!,"AAAAAH7sPxU=")</f>
        <v>#REF!</v>
      </c>
      <c r="W45" t="e">
        <f>AND(#REF!,"AAAAAH7sPxY=")</f>
        <v>#REF!</v>
      </c>
      <c r="X45" t="e">
        <f>AND(#REF!,"AAAAAH7sPxc=")</f>
        <v>#REF!</v>
      </c>
      <c r="Y45" t="e">
        <f>AND(#REF!,"AAAAAH7sPxg=")</f>
        <v>#REF!</v>
      </c>
      <c r="Z45" t="e">
        <f>IF(#REF!,"AAAAAH7sPxk=",0)</f>
        <v>#REF!</v>
      </c>
      <c r="AA45" t="e">
        <f>AND(#REF!,"AAAAAH7sPxo=")</f>
        <v>#REF!</v>
      </c>
      <c r="AB45" t="e">
        <f>AND(#REF!,"AAAAAH7sPxs=")</f>
        <v>#REF!</v>
      </c>
      <c r="AC45" t="e">
        <f>AND(#REF!,"AAAAAH7sPxw=")</f>
        <v>#REF!</v>
      </c>
      <c r="AD45" t="e">
        <f>AND(#REF!,"AAAAAH7sPx0=")</f>
        <v>#REF!</v>
      </c>
      <c r="AE45" t="e">
        <f>AND(#REF!,"AAAAAH7sPx4=")</f>
        <v>#REF!</v>
      </c>
      <c r="AF45" t="e">
        <f>AND(#REF!,"AAAAAH7sPx8=")</f>
        <v>#REF!</v>
      </c>
      <c r="AG45" t="e">
        <f>AND(#REF!,"AAAAAH7sPyA=")</f>
        <v>#REF!</v>
      </c>
      <c r="AH45" t="e">
        <f>AND(#REF!,"AAAAAH7sPyE=")</f>
        <v>#REF!</v>
      </c>
      <c r="AI45" t="e">
        <f>AND(#REF!,"AAAAAH7sPyI=")</f>
        <v>#REF!</v>
      </c>
      <c r="AJ45" t="e">
        <f>AND(#REF!,"AAAAAH7sPyM=")</f>
        <v>#REF!</v>
      </c>
      <c r="AK45" t="e">
        <f>AND(#REF!,"AAAAAH7sPyQ=")</f>
        <v>#REF!</v>
      </c>
      <c r="AL45" t="e">
        <f>AND(#REF!,"AAAAAH7sPyU=")</f>
        <v>#REF!</v>
      </c>
      <c r="AM45" t="e">
        <f>AND(#REF!,"AAAAAH7sPyY=")</f>
        <v>#REF!</v>
      </c>
      <c r="AN45" t="e">
        <f>AND(#REF!,"AAAAAH7sPyc=")</f>
        <v>#REF!</v>
      </c>
      <c r="AO45" t="e">
        <f>IF(#REF!,"AAAAAH7sPyg=",0)</f>
        <v>#REF!</v>
      </c>
      <c r="AP45" t="e">
        <f>AND(#REF!,"AAAAAH7sPyk=")</f>
        <v>#REF!</v>
      </c>
      <c r="AQ45" t="e">
        <f>AND(#REF!,"AAAAAH7sPyo=")</f>
        <v>#REF!</v>
      </c>
      <c r="AR45" t="e">
        <f>AND(#REF!,"AAAAAH7sPys=")</f>
        <v>#REF!</v>
      </c>
      <c r="AS45" t="e">
        <f>AND(#REF!,"AAAAAH7sPyw=")</f>
        <v>#REF!</v>
      </c>
      <c r="AT45" t="e">
        <f>AND(#REF!,"AAAAAH7sPy0=")</f>
        <v>#REF!</v>
      </c>
      <c r="AU45" t="e">
        <f>AND(#REF!,"AAAAAH7sPy4=")</f>
        <v>#REF!</v>
      </c>
      <c r="AV45" t="e">
        <f>AND(#REF!,"AAAAAH7sPy8=")</f>
        <v>#REF!</v>
      </c>
      <c r="AW45" t="e">
        <f>AND(#REF!,"AAAAAH7sPzA=")</f>
        <v>#REF!</v>
      </c>
      <c r="AX45" t="e">
        <f>AND(#REF!,"AAAAAH7sPzE=")</f>
        <v>#REF!</v>
      </c>
      <c r="AY45" t="e">
        <f>AND(#REF!,"AAAAAH7sPzI=")</f>
        <v>#REF!</v>
      </c>
      <c r="AZ45" t="e">
        <f>AND(#REF!,"AAAAAH7sPzM=")</f>
        <v>#REF!</v>
      </c>
      <c r="BA45" t="e">
        <f>AND(#REF!,"AAAAAH7sPzQ=")</f>
        <v>#REF!</v>
      </c>
      <c r="BB45" t="e">
        <f>AND(#REF!,"AAAAAH7sPzU=")</f>
        <v>#REF!</v>
      </c>
      <c r="BC45" t="e">
        <f>AND(#REF!,"AAAAAH7sPzY=")</f>
        <v>#REF!</v>
      </c>
      <c r="BD45" t="e">
        <f>IF(#REF!,"AAAAAH7sPzc=",0)</f>
        <v>#REF!</v>
      </c>
      <c r="BE45" t="e">
        <f>AND(#REF!,"AAAAAH7sPzg=")</f>
        <v>#REF!</v>
      </c>
      <c r="BF45" t="e">
        <f>AND(#REF!,"AAAAAH7sPzk=")</f>
        <v>#REF!</v>
      </c>
      <c r="BG45" t="e">
        <f>AND(#REF!,"AAAAAH7sPzo=")</f>
        <v>#REF!</v>
      </c>
      <c r="BH45" t="e">
        <f>AND(#REF!,"AAAAAH7sPzs=")</f>
        <v>#REF!</v>
      </c>
      <c r="BI45" t="e">
        <f>AND(#REF!,"AAAAAH7sPzw=")</f>
        <v>#REF!</v>
      </c>
      <c r="BJ45" t="e">
        <f>AND(#REF!,"AAAAAH7sPz0=")</f>
        <v>#REF!</v>
      </c>
      <c r="BK45" t="e">
        <f>AND(#REF!,"AAAAAH7sPz4=")</f>
        <v>#REF!</v>
      </c>
      <c r="BL45" t="e">
        <f>AND(#REF!,"AAAAAH7sPz8=")</f>
        <v>#REF!</v>
      </c>
      <c r="BM45" t="e">
        <f>AND(#REF!,"AAAAAH7sP0A=")</f>
        <v>#REF!</v>
      </c>
      <c r="BN45" t="e">
        <f>AND(#REF!,"AAAAAH7sP0E=")</f>
        <v>#REF!</v>
      </c>
      <c r="BO45" t="e">
        <f>AND(#REF!,"AAAAAH7sP0I=")</f>
        <v>#REF!</v>
      </c>
      <c r="BP45" t="e">
        <f>AND(#REF!,"AAAAAH7sP0M=")</f>
        <v>#REF!</v>
      </c>
      <c r="BQ45" t="e">
        <f>AND(#REF!,"AAAAAH7sP0Q=")</f>
        <v>#REF!</v>
      </c>
      <c r="BR45" t="e">
        <f>AND(#REF!,"AAAAAH7sP0U=")</f>
        <v>#REF!</v>
      </c>
      <c r="BS45" t="e">
        <f>IF(#REF!,"AAAAAH7sP0Y=",0)</f>
        <v>#REF!</v>
      </c>
      <c r="BT45" t="e">
        <f>AND(#REF!,"AAAAAH7sP0c=")</f>
        <v>#REF!</v>
      </c>
      <c r="BU45" t="e">
        <f>AND(#REF!,"AAAAAH7sP0g=")</f>
        <v>#REF!</v>
      </c>
      <c r="BV45" t="e">
        <f>AND(#REF!,"AAAAAH7sP0k=")</f>
        <v>#REF!</v>
      </c>
      <c r="BW45" t="e">
        <f>AND(#REF!,"AAAAAH7sP0o=")</f>
        <v>#REF!</v>
      </c>
      <c r="BX45" t="e">
        <f>AND(#REF!,"AAAAAH7sP0s=")</f>
        <v>#REF!</v>
      </c>
      <c r="BY45" t="e">
        <f>AND(#REF!,"AAAAAH7sP0w=")</f>
        <v>#REF!</v>
      </c>
      <c r="BZ45" t="e">
        <f>AND(#REF!,"AAAAAH7sP00=")</f>
        <v>#REF!</v>
      </c>
      <c r="CA45" t="e">
        <f>AND(#REF!,"AAAAAH7sP04=")</f>
        <v>#REF!</v>
      </c>
      <c r="CB45" t="e">
        <f>AND(#REF!,"AAAAAH7sP08=")</f>
        <v>#REF!</v>
      </c>
      <c r="CC45" t="e">
        <f>AND(#REF!,"AAAAAH7sP1A=")</f>
        <v>#REF!</v>
      </c>
      <c r="CD45" t="e">
        <f>AND(#REF!,"AAAAAH7sP1E=")</f>
        <v>#REF!</v>
      </c>
      <c r="CE45" t="e">
        <f>AND(#REF!,"AAAAAH7sP1I=")</f>
        <v>#REF!</v>
      </c>
      <c r="CF45" t="e">
        <f>AND(#REF!,"AAAAAH7sP1M=")</f>
        <v>#REF!</v>
      </c>
      <c r="CG45" t="e">
        <f>AND(#REF!,"AAAAAH7sP1Q=")</f>
        <v>#REF!</v>
      </c>
      <c r="CH45" t="e">
        <f>IF(#REF!,"AAAAAH7sP1U=",0)</f>
        <v>#REF!</v>
      </c>
      <c r="CI45" t="e">
        <f>AND(#REF!,"AAAAAH7sP1Y=")</f>
        <v>#REF!</v>
      </c>
      <c r="CJ45" t="e">
        <f>AND(#REF!,"AAAAAH7sP1c=")</f>
        <v>#REF!</v>
      </c>
      <c r="CK45" t="e">
        <f>AND(#REF!,"AAAAAH7sP1g=")</f>
        <v>#REF!</v>
      </c>
      <c r="CL45" t="e">
        <f>AND(#REF!,"AAAAAH7sP1k=")</f>
        <v>#REF!</v>
      </c>
      <c r="CM45" t="e">
        <f>AND(#REF!,"AAAAAH7sP1o=")</f>
        <v>#REF!</v>
      </c>
      <c r="CN45" t="e">
        <f>AND(#REF!,"AAAAAH7sP1s=")</f>
        <v>#REF!</v>
      </c>
      <c r="CO45" t="e">
        <f>AND(#REF!,"AAAAAH7sP1w=")</f>
        <v>#REF!</v>
      </c>
      <c r="CP45" t="e">
        <f>AND(#REF!,"AAAAAH7sP10=")</f>
        <v>#REF!</v>
      </c>
      <c r="CQ45" t="e">
        <f>AND(#REF!,"AAAAAH7sP14=")</f>
        <v>#REF!</v>
      </c>
      <c r="CR45" t="e">
        <f>AND(#REF!,"AAAAAH7sP18=")</f>
        <v>#REF!</v>
      </c>
      <c r="CS45" t="e">
        <f>AND(#REF!,"AAAAAH7sP2A=")</f>
        <v>#REF!</v>
      </c>
      <c r="CT45" t="e">
        <f>AND(#REF!,"AAAAAH7sP2E=")</f>
        <v>#REF!</v>
      </c>
      <c r="CU45" t="e">
        <f>AND(#REF!,"AAAAAH7sP2I=")</f>
        <v>#REF!</v>
      </c>
      <c r="CV45" t="e">
        <f>AND(#REF!,"AAAAAH7sP2M=")</f>
        <v>#REF!</v>
      </c>
      <c r="CW45" t="e">
        <f>IF(#REF!,"AAAAAH7sP2Q=",0)</f>
        <v>#REF!</v>
      </c>
      <c r="CX45" t="e">
        <f>AND(#REF!,"AAAAAH7sP2U=")</f>
        <v>#REF!</v>
      </c>
      <c r="CY45" t="e">
        <f>AND(#REF!,"AAAAAH7sP2Y=")</f>
        <v>#REF!</v>
      </c>
      <c r="CZ45" t="e">
        <f>AND(#REF!,"AAAAAH7sP2c=")</f>
        <v>#REF!</v>
      </c>
      <c r="DA45" t="e">
        <f>AND(#REF!,"AAAAAH7sP2g=")</f>
        <v>#REF!</v>
      </c>
      <c r="DB45" t="e">
        <f>AND(#REF!,"AAAAAH7sP2k=")</f>
        <v>#REF!</v>
      </c>
      <c r="DC45" t="e">
        <f>AND(#REF!,"AAAAAH7sP2o=")</f>
        <v>#REF!</v>
      </c>
      <c r="DD45" t="e">
        <f>AND(#REF!,"AAAAAH7sP2s=")</f>
        <v>#REF!</v>
      </c>
      <c r="DE45" t="e">
        <f>AND(#REF!,"AAAAAH7sP2w=")</f>
        <v>#REF!</v>
      </c>
      <c r="DF45" t="e">
        <f>AND(#REF!,"AAAAAH7sP20=")</f>
        <v>#REF!</v>
      </c>
      <c r="DG45" t="e">
        <f>AND(#REF!,"AAAAAH7sP24=")</f>
        <v>#REF!</v>
      </c>
      <c r="DH45" t="e">
        <f>AND(#REF!,"AAAAAH7sP28=")</f>
        <v>#REF!</v>
      </c>
      <c r="DI45" t="e">
        <f>AND(#REF!,"AAAAAH7sP3A=")</f>
        <v>#REF!</v>
      </c>
      <c r="DJ45" t="e">
        <f>AND(#REF!,"AAAAAH7sP3E=")</f>
        <v>#REF!</v>
      </c>
      <c r="DK45" t="e">
        <f>AND(#REF!,"AAAAAH7sP3I=")</f>
        <v>#REF!</v>
      </c>
      <c r="DL45" t="e">
        <f>IF(#REF!,"AAAAAH7sP3M=",0)</f>
        <v>#REF!</v>
      </c>
      <c r="DM45" t="e">
        <f>AND(#REF!,"AAAAAH7sP3Q=")</f>
        <v>#REF!</v>
      </c>
      <c r="DN45" t="e">
        <f>AND(#REF!,"AAAAAH7sP3U=")</f>
        <v>#REF!</v>
      </c>
      <c r="DO45" t="e">
        <f>AND(#REF!,"AAAAAH7sP3Y=")</f>
        <v>#REF!</v>
      </c>
      <c r="DP45" t="e">
        <f>AND(#REF!,"AAAAAH7sP3c=")</f>
        <v>#REF!</v>
      </c>
      <c r="DQ45" t="e">
        <f>AND(#REF!,"AAAAAH7sP3g=")</f>
        <v>#REF!</v>
      </c>
      <c r="DR45" t="e">
        <f>AND(#REF!,"AAAAAH7sP3k=")</f>
        <v>#REF!</v>
      </c>
      <c r="DS45" t="e">
        <f>AND(#REF!,"AAAAAH7sP3o=")</f>
        <v>#REF!</v>
      </c>
      <c r="DT45" t="e">
        <f>AND(#REF!,"AAAAAH7sP3s=")</f>
        <v>#REF!</v>
      </c>
      <c r="DU45" t="e">
        <f>AND(#REF!,"AAAAAH7sP3w=")</f>
        <v>#REF!</v>
      </c>
      <c r="DV45" t="e">
        <f>AND(#REF!,"AAAAAH7sP30=")</f>
        <v>#REF!</v>
      </c>
      <c r="DW45" t="e">
        <f>AND(#REF!,"AAAAAH7sP34=")</f>
        <v>#REF!</v>
      </c>
      <c r="DX45" t="e">
        <f>AND(#REF!,"AAAAAH7sP38=")</f>
        <v>#REF!</v>
      </c>
      <c r="DY45" t="e">
        <f>AND(#REF!,"AAAAAH7sP4A=")</f>
        <v>#REF!</v>
      </c>
      <c r="DZ45" t="e">
        <f>AND(#REF!,"AAAAAH7sP4E=")</f>
        <v>#REF!</v>
      </c>
      <c r="EA45" t="e">
        <f>IF(#REF!,"AAAAAH7sP4I=",0)</f>
        <v>#REF!</v>
      </c>
      <c r="EB45" t="e">
        <f>AND(#REF!,"AAAAAH7sP4M=")</f>
        <v>#REF!</v>
      </c>
      <c r="EC45" t="e">
        <f>AND(#REF!,"AAAAAH7sP4Q=")</f>
        <v>#REF!</v>
      </c>
      <c r="ED45" t="e">
        <f>AND(#REF!,"AAAAAH7sP4U=")</f>
        <v>#REF!</v>
      </c>
      <c r="EE45" t="e">
        <f>AND(#REF!,"AAAAAH7sP4Y=")</f>
        <v>#REF!</v>
      </c>
      <c r="EF45" t="e">
        <f>AND(#REF!,"AAAAAH7sP4c=")</f>
        <v>#REF!</v>
      </c>
      <c r="EG45" t="e">
        <f>AND(#REF!,"AAAAAH7sP4g=")</f>
        <v>#REF!</v>
      </c>
      <c r="EH45" t="e">
        <f>AND(#REF!,"AAAAAH7sP4k=")</f>
        <v>#REF!</v>
      </c>
      <c r="EI45" t="e">
        <f>AND(#REF!,"AAAAAH7sP4o=")</f>
        <v>#REF!</v>
      </c>
      <c r="EJ45" t="e">
        <f>AND(#REF!,"AAAAAH7sP4s=")</f>
        <v>#REF!</v>
      </c>
      <c r="EK45" t="e">
        <f>AND(#REF!,"AAAAAH7sP4w=")</f>
        <v>#REF!</v>
      </c>
      <c r="EL45" t="e">
        <f>AND(#REF!,"AAAAAH7sP40=")</f>
        <v>#REF!</v>
      </c>
      <c r="EM45" t="e">
        <f>AND(#REF!,"AAAAAH7sP44=")</f>
        <v>#REF!</v>
      </c>
      <c r="EN45" t="e">
        <f>AND(#REF!,"AAAAAH7sP48=")</f>
        <v>#REF!</v>
      </c>
      <c r="EO45" t="e">
        <f>AND(#REF!,"AAAAAH7sP5A=")</f>
        <v>#REF!</v>
      </c>
      <c r="EP45" t="e">
        <f>IF(#REF!,"AAAAAH7sP5E=",0)</f>
        <v>#REF!</v>
      </c>
      <c r="EQ45" t="e">
        <f>AND(#REF!,"AAAAAH7sP5I=")</f>
        <v>#REF!</v>
      </c>
      <c r="ER45" t="e">
        <f>AND(#REF!,"AAAAAH7sP5M=")</f>
        <v>#REF!</v>
      </c>
      <c r="ES45" t="e">
        <f>AND(#REF!,"AAAAAH7sP5Q=")</f>
        <v>#REF!</v>
      </c>
      <c r="ET45" t="e">
        <f>AND(#REF!,"AAAAAH7sP5U=")</f>
        <v>#REF!</v>
      </c>
      <c r="EU45" t="e">
        <f>AND(#REF!,"AAAAAH7sP5Y=")</f>
        <v>#REF!</v>
      </c>
      <c r="EV45" t="e">
        <f>AND(#REF!,"AAAAAH7sP5c=")</f>
        <v>#REF!</v>
      </c>
      <c r="EW45" t="e">
        <f>AND(#REF!,"AAAAAH7sP5g=")</f>
        <v>#REF!</v>
      </c>
      <c r="EX45" t="e">
        <f>AND(#REF!,"AAAAAH7sP5k=")</f>
        <v>#REF!</v>
      </c>
      <c r="EY45" t="e">
        <f>AND(#REF!,"AAAAAH7sP5o=")</f>
        <v>#REF!</v>
      </c>
      <c r="EZ45" t="e">
        <f>AND(#REF!,"AAAAAH7sP5s=")</f>
        <v>#REF!</v>
      </c>
      <c r="FA45" t="e">
        <f>AND(#REF!,"AAAAAH7sP5w=")</f>
        <v>#REF!</v>
      </c>
      <c r="FB45" t="e">
        <f>AND(#REF!,"AAAAAH7sP50=")</f>
        <v>#REF!</v>
      </c>
      <c r="FC45" t="e">
        <f>AND(#REF!,"AAAAAH7sP54=")</f>
        <v>#REF!</v>
      </c>
      <c r="FD45" t="e">
        <f>AND(#REF!,"AAAAAH7sP58=")</f>
        <v>#REF!</v>
      </c>
      <c r="FE45" t="e">
        <f>IF(#REF!,"AAAAAH7sP6A=",0)</f>
        <v>#REF!</v>
      </c>
      <c r="FF45" t="e">
        <f>AND(#REF!,"AAAAAH7sP6E=")</f>
        <v>#REF!</v>
      </c>
      <c r="FG45" t="e">
        <f>AND(#REF!,"AAAAAH7sP6I=")</f>
        <v>#REF!</v>
      </c>
      <c r="FH45" t="e">
        <f>AND(#REF!,"AAAAAH7sP6M=")</f>
        <v>#REF!</v>
      </c>
      <c r="FI45" t="e">
        <f>AND(#REF!,"AAAAAH7sP6Q=")</f>
        <v>#REF!</v>
      </c>
      <c r="FJ45" t="e">
        <f>AND(#REF!,"AAAAAH7sP6U=")</f>
        <v>#REF!</v>
      </c>
      <c r="FK45" t="e">
        <f>AND(#REF!,"AAAAAH7sP6Y=")</f>
        <v>#REF!</v>
      </c>
      <c r="FL45" t="e">
        <f>AND(#REF!,"AAAAAH7sP6c=")</f>
        <v>#REF!</v>
      </c>
      <c r="FM45" t="e">
        <f>AND(#REF!,"AAAAAH7sP6g=")</f>
        <v>#REF!</v>
      </c>
      <c r="FN45" t="e">
        <f>AND(#REF!,"AAAAAH7sP6k=")</f>
        <v>#REF!</v>
      </c>
      <c r="FO45" t="e">
        <f>AND(#REF!,"AAAAAH7sP6o=")</f>
        <v>#REF!</v>
      </c>
      <c r="FP45" t="e">
        <f>AND(#REF!,"AAAAAH7sP6s=")</f>
        <v>#REF!</v>
      </c>
      <c r="FQ45" t="e">
        <f>AND(#REF!,"AAAAAH7sP6w=")</f>
        <v>#REF!</v>
      </c>
      <c r="FR45" t="e">
        <f>AND(#REF!,"AAAAAH7sP60=")</f>
        <v>#REF!</v>
      </c>
      <c r="FS45" t="e">
        <f>AND(#REF!,"AAAAAH7sP64=")</f>
        <v>#REF!</v>
      </c>
      <c r="FT45" t="e">
        <f>IF(#REF!,"AAAAAH7sP68=",0)</f>
        <v>#REF!</v>
      </c>
      <c r="FU45" t="e">
        <f>AND(#REF!,"AAAAAH7sP7A=")</f>
        <v>#REF!</v>
      </c>
      <c r="FV45" t="e">
        <f>AND(#REF!,"AAAAAH7sP7E=")</f>
        <v>#REF!</v>
      </c>
      <c r="FW45" t="e">
        <f>AND(#REF!,"AAAAAH7sP7I=")</f>
        <v>#REF!</v>
      </c>
      <c r="FX45" t="e">
        <f>AND(#REF!,"AAAAAH7sP7M=")</f>
        <v>#REF!</v>
      </c>
      <c r="FY45" t="e">
        <f>AND(#REF!,"AAAAAH7sP7Q=")</f>
        <v>#REF!</v>
      </c>
      <c r="FZ45" t="e">
        <f>AND(#REF!,"AAAAAH7sP7U=")</f>
        <v>#REF!</v>
      </c>
      <c r="GA45" t="e">
        <f>AND(#REF!,"AAAAAH7sP7Y=")</f>
        <v>#REF!</v>
      </c>
      <c r="GB45" t="e">
        <f>AND(#REF!,"AAAAAH7sP7c=")</f>
        <v>#REF!</v>
      </c>
      <c r="GC45" t="e">
        <f>AND(#REF!,"AAAAAH7sP7g=")</f>
        <v>#REF!</v>
      </c>
      <c r="GD45" t="e">
        <f>AND(#REF!,"AAAAAH7sP7k=")</f>
        <v>#REF!</v>
      </c>
      <c r="GE45" t="e">
        <f>AND(#REF!,"AAAAAH7sP7o=")</f>
        <v>#REF!</v>
      </c>
      <c r="GF45" t="e">
        <f>AND(#REF!,"AAAAAH7sP7s=")</f>
        <v>#REF!</v>
      </c>
      <c r="GG45" t="e">
        <f>AND(#REF!,"AAAAAH7sP7w=")</f>
        <v>#REF!</v>
      </c>
      <c r="GH45" t="e">
        <f>AND(#REF!,"AAAAAH7sP70=")</f>
        <v>#REF!</v>
      </c>
      <c r="GI45" t="e">
        <f>IF(#REF!,"AAAAAH7sP74=",0)</f>
        <v>#REF!</v>
      </c>
      <c r="GJ45" t="e">
        <f>AND(#REF!,"AAAAAH7sP78=")</f>
        <v>#REF!</v>
      </c>
      <c r="GK45" t="e">
        <f>AND(#REF!,"AAAAAH7sP8A=")</f>
        <v>#REF!</v>
      </c>
      <c r="GL45" t="e">
        <f>AND(#REF!,"AAAAAH7sP8E=")</f>
        <v>#REF!</v>
      </c>
      <c r="GM45" t="e">
        <f>AND(#REF!,"AAAAAH7sP8I=")</f>
        <v>#REF!</v>
      </c>
      <c r="GN45" t="e">
        <f>AND(#REF!,"AAAAAH7sP8M=")</f>
        <v>#REF!</v>
      </c>
      <c r="GO45" t="e">
        <f>AND(#REF!,"AAAAAH7sP8Q=")</f>
        <v>#REF!</v>
      </c>
      <c r="GP45" t="e">
        <f>AND(#REF!,"AAAAAH7sP8U=")</f>
        <v>#REF!</v>
      </c>
      <c r="GQ45" t="e">
        <f>AND(#REF!,"AAAAAH7sP8Y=")</f>
        <v>#REF!</v>
      </c>
      <c r="GR45" t="e">
        <f>AND(#REF!,"AAAAAH7sP8c=")</f>
        <v>#REF!</v>
      </c>
      <c r="GS45" t="e">
        <f>AND(#REF!,"AAAAAH7sP8g=")</f>
        <v>#REF!</v>
      </c>
      <c r="GT45" t="e">
        <f>AND(#REF!,"AAAAAH7sP8k=")</f>
        <v>#REF!</v>
      </c>
      <c r="GU45" t="e">
        <f>AND(#REF!,"AAAAAH7sP8o=")</f>
        <v>#REF!</v>
      </c>
      <c r="GV45" t="e">
        <f>AND(#REF!,"AAAAAH7sP8s=")</f>
        <v>#REF!</v>
      </c>
      <c r="GW45" t="e">
        <f>AND(#REF!,"AAAAAH7sP8w=")</f>
        <v>#REF!</v>
      </c>
      <c r="GX45" t="e">
        <f>IF(#REF!,"AAAAAH7sP80=",0)</f>
        <v>#REF!</v>
      </c>
      <c r="GY45" t="e">
        <f>AND(#REF!,"AAAAAH7sP84=")</f>
        <v>#REF!</v>
      </c>
      <c r="GZ45" t="e">
        <f>AND(#REF!,"AAAAAH7sP88=")</f>
        <v>#REF!</v>
      </c>
      <c r="HA45" t="e">
        <f>AND(#REF!,"AAAAAH7sP9A=")</f>
        <v>#REF!</v>
      </c>
      <c r="HB45" t="e">
        <f>AND(#REF!,"AAAAAH7sP9E=")</f>
        <v>#REF!</v>
      </c>
      <c r="HC45" t="e">
        <f>AND(#REF!,"AAAAAH7sP9I=")</f>
        <v>#REF!</v>
      </c>
      <c r="HD45" t="e">
        <f>AND(#REF!,"AAAAAH7sP9M=")</f>
        <v>#REF!</v>
      </c>
      <c r="HE45" t="e">
        <f>AND(#REF!,"AAAAAH7sP9Q=")</f>
        <v>#REF!</v>
      </c>
      <c r="HF45" t="e">
        <f>AND(#REF!,"AAAAAH7sP9U=")</f>
        <v>#REF!</v>
      </c>
      <c r="HG45" t="e">
        <f>AND(#REF!,"AAAAAH7sP9Y=")</f>
        <v>#REF!</v>
      </c>
      <c r="HH45" t="e">
        <f>AND(#REF!,"AAAAAH7sP9c=")</f>
        <v>#REF!</v>
      </c>
      <c r="HI45" t="e">
        <f>AND(#REF!,"AAAAAH7sP9g=")</f>
        <v>#REF!</v>
      </c>
      <c r="HJ45" t="e">
        <f>AND(#REF!,"AAAAAH7sP9k=")</f>
        <v>#REF!</v>
      </c>
      <c r="HK45" t="e">
        <f>AND(#REF!,"AAAAAH7sP9o=")</f>
        <v>#REF!</v>
      </c>
      <c r="HL45" t="e">
        <f>AND(#REF!,"AAAAAH7sP9s=")</f>
        <v>#REF!</v>
      </c>
      <c r="HM45" t="e">
        <f>IF(#REF!,"AAAAAH7sP9w=",0)</f>
        <v>#REF!</v>
      </c>
      <c r="HN45" t="e">
        <f>AND(#REF!,"AAAAAH7sP90=")</f>
        <v>#REF!</v>
      </c>
      <c r="HO45" t="e">
        <f>AND(#REF!,"AAAAAH7sP94=")</f>
        <v>#REF!</v>
      </c>
      <c r="HP45" t="e">
        <f>AND(#REF!,"AAAAAH7sP98=")</f>
        <v>#REF!</v>
      </c>
      <c r="HQ45" t="e">
        <f>AND(#REF!,"AAAAAH7sP+A=")</f>
        <v>#REF!</v>
      </c>
      <c r="HR45" t="e">
        <f>AND(#REF!,"AAAAAH7sP+E=")</f>
        <v>#REF!</v>
      </c>
      <c r="HS45" t="e">
        <f>AND(#REF!,"AAAAAH7sP+I=")</f>
        <v>#REF!</v>
      </c>
      <c r="HT45" t="e">
        <f>AND(#REF!,"AAAAAH7sP+M=")</f>
        <v>#REF!</v>
      </c>
      <c r="HU45" t="e">
        <f>AND(#REF!,"AAAAAH7sP+Q=")</f>
        <v>#REF!</v>
      </c>
      <c r="HV45" t="e">
        <f>AND(#REF!,"AAAAAH7sP+U=")</f>
        <v>#REF!</v>
      </c>
      <c r="HW45" t="e">
        <f>AND(#REF!,"AAAAAH7sP+Y=")</f>
        <v>#REF!</v>
      </c>
      <c r="HX45" t="e">
        <f>AND(#REF!,"AAAAAH7sP+c=")</f>
        <v>#REF!</v>
      </c>
      <c r="HY45" t="e">
        <f>AND(#REF!,"AAAAAH7sP+g=")</f>
        <v>#REF!</v>
      </c>
      <c r="HZ45" t="e">
        <f>AND(#REF!,"AAAAAH7sP+k=")</f>
        <v>#REF!</v>
      </c>
      <c r="IA45" t="e">
        <f>AND(#REF!,"AAAAAH7sP+o=")</f>
        <v>#REF!</v>
      </c>
      <c r="IB45" t="e">
        <f>IF(#REF!,"AAAAAH7sP+s=",0)</f>
        <v>#REF!</v>
      </c>
      <c r="IC45" t="e">
        <f>AND(#REF!,"AAAAAH7sP+w=")</f>
        <v>#REF!</v>
      </c>
      <c r="ID45" t="e">
        <f>AND(#REF!,"AAAAAH7sP+0=")</f>
        <v>#REF!</v>
      </c>
      <c r="IE45" t="e">
        <f>AND(#REF!,"AAAAAH7sP+4=")</f>
        <v>#REF!</v>
      </c>
      <c r="IF45" t="e">
        <f>AND(#REF!,"AAAAAH7sP+8=")</f>
        <v>#REF!</v>
      </c>
      <c r="IG45" t="e">
        <f>AND(#REF!,"AAAAAH7sP/A=")</f>
        <v>#REF!</v>
      </c>
      <c r="IH45" t="e">
        <f>AND(#REF!,"AAAAAH7sP/E=")</f>
        <v>#REF!</v>
      </c>
      <c r="II45" t="e">
        <f>AND(#REF!,"AAAAAH7sP/I=")</f>
        <v>#REF!</v>
      </c>
      <c r="IJ45" t="e">
        <f>AND(#REF!,"AAAAAH7sP/M=")</f>
        <v>#REF!</v>
      </c>
      <c r="IK45" t="e">
        <f>AND(#REF!,"AAAAAH7sP/Q=")</f>
        <v>#REF!</v>
      </c>
      <c r="IL45" t="e">
        <f>AND(#REF!,"AAAAAH7sP/U=")</f>
        <v>#REF!</v>
      </c>
      <c r="IM45" t="e">
        <f>AND(#REF!,"AAAAAH7sP/Y=")</f>
        <v>#REF!</v>
      </c>
      <c r="IN45" t="e">
        <f>AND(#REF!,"AAAAAH7sP/c=")</f>
        <v>#REF!</v>
      </c>
      <c r="IO45" t="e">
        <f>AND(#REF!,"AAAAAH7sP/g=")</f>
        <v>#REF!</v>
      </c>
      <c r="IP45" t="e">
        <f>AND(#REF!,"AAAAAH7sP/k=")</f>
        <v>#REF!</v>
      </c>
      <c r="IQ45" t="e">
        <f>IF(#REF!,"AAAAAH7sP/o=",0)</f>
        <v>#REF!</v>
      </c>
      <c r="IR45" t="e">
        <f>AND(#REF!,"AAAAAH7sP/s=")</f>
        <v>#REF!</v>
      </c>
      <c r="IS45" t="e">
        <f>AND(#REF!,"AAAAAH7sP/w=")</f>
        <v>#REF!</v>
      </c>
      <c r="IT45" t="e">
        <f>AND(#REF!,"AAAAAH7sP/0=")</f>
        <v>#REF!</v>
      </c>
      <c r="IU45" t="e">
        <f>AND(#REF!,"AAAAAH7sP/4=")</f>
        <v>#REF!</v>
      </c>
      <c r="IV45" t="e">
        <f>AND(#REF!,"AAAAAH7sP/8=")</f>
        <v>#REF!</v>
      </c>
    </row>
    <row r="46" spans="1:256">
      <c r="A46" t="e">
        <f>AND(#REF!,"AAAAAGzF/wA=")</f>
        <v>#REF!</v>
      </c>
      <c r="B46" t="e">
        <f>AND(#REF!,"AAAAAGzF/wE=")</f>
        <v>#REF!</v>
      </c>
      <c r="C46" t="e">
        <f>AND(#REF!,"AAAAAGzF/wI=")</f>
        <v>#REF!</v>
      </c>
      <c r="D46" t="e">
        <f>AND(#REF!,"AAAAAGzF/wM=")</f>
        <v>#REF!</v>
      </c>
      <c r="E46" t="e">
        <f>AND(#REF!,"AAAAAGzF/wQ=")</f>
        <v>#REF!</v>
      </c>
      <c r="F46" t="e">
        <f>AND(#REF!,"AAAAAGzF/wU=")</f>
        <v>#REF!</v>
      </c>
      <c r="G46" t="e">
        <f>AND(#REF!,"AAAAAGzF/wY=")</f>
        <v>#REF!</v>
      </c>
      <c r="H46" t="e">
        <f>AND(#REF!,"AAAAAGzF/wc=")</f>
        <v>#REF!</v>
      </c>
      <c r="I46" t="e">
        <f>AND(#REF!,"AAAAAGzF/wg=")</f>
        <v>#REF!</v>
      </c>
      <c r="J46" t="e">
        <f>IF(#REF!,"AAAAAGzF/wk=",0)</f>
        <v>#REF!</v>
      </c>
      <c r="K46" t="e">
        <f>AND(#REF!,"AAAAAGzF/wo=")</f>
        <v>#REF!</v>
      </c>
      <c r="L46" t="e">
        <f>AND(#REF!,"AAAAAGzF/ws=")</f>
        <v>#REF!</v>
      </c>
      <c r="M46" t="e">
        <f>AND(#REF!,"AAAAAGzF/ww=")</f>
        <v>#REF!</v>
      </c>
      <c r="N46" t="e">
        <f>AND(#REF!,"AAAAAGzF/w0=")</f>
        <v>#REF!</v>
      </c>
      <c r="O46" t="e">
        <f>AND(#REF!,"AAAAAGzF/w4=")</f>
        <v>#REF!</v>
      </c>
      <c r="P46" t="e">
        <f>AND(#REF!,"AAAAAGzF/w8=")</f>
        <v>#REF!</v>
      </c>
      <c r="Q46" t="e">
        <f>AND(#REF!,"AAAAAGzF/xA=")</f>
        <v>#REF!</v>
      </c>
      <c r="R46" t="e">
        <f>AND(#REF!,"AAAAAGzF/xE=")</f>
        <v>#REF!</v>
      </c>
      <c r="S46" t="e">
        <f>AND(#REF!,"AAAAAGzF/xI=")</f>
        <v>#REF!</v>
      </c>
      <c r="T46" t="e">
        <f>AND(#REF!,"AAAAAGzF/xM=")</f>
        <v>#REF!</v>
      </c>
      <c r="U46" t="e">
        <f>AND(#REF!,"AAAAAGzF/xQ=")</f>
        <v>#REF!</v>
      </c>
      <c r="V46" t="e">
        <f>AND(#REF!,"AAAAAGzF/xU=")</f>
        <v>#REF!</v>
      </c>
      <c r="W46" t="e">
        <f>AND(#REF!,"AAAAAGzF/xY=")</f>
        <v>#REF!</v>
      </c>
      <c r="X46" t="e">
        <f>AND(#REF!,"AAAAAGzF/xc=")</f>
        <v>#REF!</v>
      </c>
      <c r="Y46" t="e">
        <f>IF(#REF!,"AAAAAGzF/xg=",0)</f>
        <v>#REF!</v>
      </c>
      <c r="Z46" t="e">
        <f>AND(#REF!,"AAAAAGzF/xk=")</f>
        <v>#REF!</v>
      </c>
      <c r="AA46" t="e">
        <f>AND(#REF!,"AAAAAGzF/xo=")</f>
        <v>#REF!</v>
      </c>
      <c r="AB46" t="e">
        <f>AND(#REF!,"AAAAAGzF/xs=")</f>
        <v>#REF!</v>
      </c>
      <c r="AC46" t="e">
        <f>AND(#REF!,"AAAAAGzF/xw=")</f>
        <v>#REF!</v>
      </c>
      <c r="AD46" t="e">
        <f>AND(#REF!,"AAAAAGzF/x0=")</f>
        <v>#REF!</v>
      </c>
      <c r="AE46" t="e">
        <f>AND(#REF!,"AAAAAGzF/x4=")</f>
        <v>#REF!</v>
      </c>
      <c r="AF46" t="e">
        <f>AND(#REF!,"AAAAAGzF/x8=")</f>
        <v>#REF!</v>
      </c>
      <c r="AG46" t="e">
        <f>AND(#REF!,"AAAAAGzF/yA=")</f>
        <v>#REF!</v>
      </c>
      <c r="AH46" t="e">
        <f>AND(#REF!,"AAAAAGzF/yE=")</f>
        <v>#REF!</v>
      </c>
      <c r="AI46" t="e">
        <f>AND(#REF!,"AAAAAGzF/yI=")</f>
        <v>#REF!</v>
      </c>
      <c r="AJ46" t="e">
        <f>AND(#REF!,"AAAAAGzF/yM=")</f>
        <v>#REF!</v>
      </c>
      <c r="AK46" t="e">
        <f>AND(#REF!,"AAAAAGzF/yQ=")</f>
        <v>#REF!</v>
      </c>
      <c r="AL46" t="e">
        <f>AND(#REF!,"AAAAAGzF/yU=")</f>
        <v>#REF!</v>
      </c>
      <c r="AM46" t="e">
        <f>AND(#REF!,"AAAAAGzF/yY=")</f>
        <v>#REF!</v>
      </c>
      <c r="AN46" t="e">
        <f>IF(#REF!,"AAAAAGzF/yc=",0)</f>
        <v>#REF!</v>
      </c>
      <c r="AO46" t="e">
        <f>AND(#REF!,"AAAAAGzF/yg=")</f>
        <v>#REF!</v>
      </c>
      <c r="AP46" t="e">
        <f>AND(#REF!,"AAAAAGzF/yk=")</f>
        <v>#REF!</v>
      </c>
      <c r="AQ46" t="e">
        <f>AND(#REF!,"AAAAAGzF/yo=")</f>
        <v>#REF!</v>
      </c>
      <c r="AR46" t="e">
        <f>AND(#REF!,"AAAAAGzF/ys=")</f>
        <v>#REF!</v>
      </c>
      <c r="AS46" t="e">
        <f>AND(#REF!,"AAAAAGzF/yw=")</f>
        <v>#REF!</v>
      </c>
      <c r="AT46" t="e">
        <f>AND(#REF!,"AAAAAGzF/y0=")</f>
        <v>#REF!</v>
      </c>
      <c r="AU46" t="e">
        <f>AND(#REF!,"AAAAAGzF/y4=")</f>
        <v>#REF!</v>
      </c>
      <c r="AV46" t="e">
        <f>AND(#REF!,"AAAAAGzF/y8=")</f>
        <v>#REF!</v>
      </c>
      <c r="AW46" t="e">
        <f>AND(#REF!,"AAAAAGzF/zA=")</f>
        <v>#REF!</v>
      </c>
      <c r="AX46" t="e">
        <f>AND(#REF!,"AAAAAGzF/zE=")</f>
        <v>#REF!</v>
      </c>
      <c r="AY46" t="e">
        <f>AND(#REF!,"AAAAAGzF/zI=")</f>
        <v>#REF!</v>
      </c>
      <c r="AZ46" t="e">
        <f>AND(#REF!,"AAAAAGzF/zM=")</f>
        <v>#REF!</v>
      </c>
      <c r="BA46" t="e">
        <f>AND(#REF!,"AAAAAGzF/zQ=")</f>
        <v>#REF!</v>
      </c>
      <c r="BB46" t="e">
        <f>AND(#REF!,"AAAAAGzF/zU=")</f>
        <v>#REF!</v>
      </c>
      <c r="BC46" t="e">
        <f>IF(#REF!,"AAAAAGzF/zY=",0)</f>
        <v>#REF!</v>
      </c>
      <c r="BD46" t="e">
        <f>AND(#REF!,"AAAAAGzF/zc=")</f>
        <v>#REF!</v>
      </c>
      <c r="BE46" t="e">
        <f>AND(#REF!,"AAAAAGzF/zg=")</f>
        <v>#REF!</v>
      </c>
      <c r="BF46" t="e">
        <f>AND(#REF!,"AAAAAGzF/zk=")</f>
        <v>#REF!</v>
      </c>
      <c r="BG46" t="e">
        <f>AND(#REF!,"AAAAAGzF/zo=")</f>
        <v>#REF!</v>
      </c>
      <c r="BH46" t="e">
        <f>AND(#REF!,"AAAAAGzF/zs=")</f>
        <v>#REF!</v>
      </c>
      <c r="BI46" t="e">
        <f>AND(#REF!,"AAAAAGzF/zw=")</f>
        <v>#REF!</v>
      </c>
      <c r="BJ46" t="e">
        <f>AND(#REF!,"AAAAAGzF/z0=")</f>
        <v>#REF!</v>
      </c>
      <c r="BK46" t="e">
        <f>AND(#REF!,"AAAAAGzF/z4=")</f>
        <v>#REF!</v>
      </c>
      <c r="BL46" t="e">
        <f>AND(#REF!,"AAAAAGzF/z8=")</f>
        <v>#REF!</v>
      </c>
      <c r="BM46" t="e">
        <f>AND(#REF!,"AAAAAGzF/0A=")</f>
        <v>#REF!</v>
      </c>
      <c r="BN46" t="e">
        <f>AND(#REF!,"AAAAAGzF/0E=")</f>
        <v>#REF!</v>
      </c>
      <c r="BO46" t="e">
        <f>AND(#REF!,"AAAAAGzF/0I=")</f>
        <v>#REF!</v>
      </c>
      <c r="BP46" t="e">
        <f>AND(#REF!,"AAAAAGzF/0M=")</f>
        <v>#REF!</v>
      </c>
      <c r="BQ46" t="e">
        <f>AND(#REF!,"AAAAAGzF/0Q=")</f>
        <v>#REF!</v>
      </c>
      <c r="BR46" t="e">
        <f>IF(#REF!,"AAAAAGzF/0U=",0)</f>
        <v>#REF!</v>
      </c>
      <c r="BS46" t="e">
        <f>AND(#REF!,"AAAAAGzF/0Y=")</f>
        <v>#REF!</v>
      </c>
      <c r="BT46" t="e">
        <f>AND(#REF!,"AAAAAGzF/0c=")</f>
        <v>#REF!</v>
      </c>
      <c r="BU46" t="e">
        <f>AND(#REF!,"AAAAAGzF/0g=")</f>
        <v>#REF!</v>
      </c>
      <c r="BV46" t="e">
        <f>AND(#REF!,"AAAAAGzF/0k=")</f>
        <v>#REF!</v>
      </c>
      <c r="BW46" t="e">
        <f>AND(#REF!,"AAAAAGzF/0o=")</f>
        <v>#REF!</v>
      </c>
      <c r="BX46" t="e">
        <f>AND(#REF!,"AAAAAGzF/0s=")</f>
        <v>#REF!</v>
      </c>
      <c r="BY46" t="e">
        <f>AND(#REF!,"AAAAAGzF/0w=")</f>
        <v>#REF!</v>
      </c>
      <c r="BZ46" t="e">
        <f>AND(#REF!,"AAAAAGzF/00=")</f>
        <v>#REF!</v>
      </c>
      <c r="CA46" t="e">
        <f>AND(#REF!,"AAAAAGzF/04=")</f>
        <v>#REF!</v>
      </c>
      <c r="CB46" t="e">
        <f>AND(#REF!,"AAAAAGzF/08=")</f>
        <v>#REF!</v>
      </c>
      <c r="CC46" t="e">
        <f>AND(#REF!,"AAAAAGzF/1A=")</f>
        <v>#REF!</v>
      </c>
      <c r="CD46" t="e">
        <f>AND(#REF!,"AAAAAGzF/1E=")</f>
        <v>#REF!</v>
      </c>
      <c r="CE46" t="e">
        <f>AND(#REF!,"AAAAAGzF/1I=")</f>
        <v>#REF!</v>
      </c>
      <c r="CF46" t="e">
        <f>AND(#REF!,"AAAAAGzF/1M=")</f>
        <v>#REF!</v>
      </c>
      <c r="CG46" t="e">
        <f>IF(#REF!,"AAAAAGzF/1Q=",0)</f>
        <v>#REF!</v>
      </c>
      <c r="CH46" t="e">
        <f>AND(#REF!,"AAAAAGzF/1U=")</f>
        <v>#REF!</v>
      </c>
      <c r="CI46" t="e">
        <f>AND(#REF!,"AAAAAGzF/1Y=")</f>
        <v>#REF!</v>
      </c>
      <c r="CJ46" t="e">
        <f>AND(#REF!,"AAAAAGzF/1c=")</f>
        <v>#REF!</v>
      </c>
      <c r="CK46" t="e">
        <f>AND(#REF!,"AAAAAGzF/1g=")</f>
        <v>#REF!</v>
      </c>
      <c r="CL46" t="e">
        <f>AND(#REF!,"AAAAAGzF/1k=")</f>
        <v>#REF!</v>
      </c>
      <c r="CM46" t="e">
        <f>AND(#REF!,"AAAAAGzF/1o=")</f>
        <v>#REF!</v>
      </c>
      <c r="CN46" t="e">
        <f>AND(#REF!,"AAAAAGzF/1s=")</f>
        <v>#REF!</v>
      </c>
      <c r="CO46" t="e">
        <f>AND(#REF!,"AAAAAGzF/1w=")</f>
        <v>#REF!</v>
      </c>
      <c r="CP46" t="e">
        <f>AND(#REF!,"AAAAAGzF/10=")</f>
        <v>#REF!</v>
      </c>
      <c r="CQ46" t="e">
        <f>AND(#REF!,"AAAAAGzF/14=")</f>
        <v>#REF!</v>
      </c>
      <c r="CR46" t="e">
        <f>AND(#REF!,"AAAAAGzF/18=")</f>
        <v>#REF!</v>
      </c>
      <c r="CS46" t="e">
        <f>AND(#REF!,"AAAAAGzF/2A=")</f>
        <v>#REF!</v>
      </c>
      <c r="CT46" t="e">
        <f>AND(#REF!,"AAAAAGzF/2E=")</f>
        <v>#REF!</v>
      </c>
      <c r="CU46" t="e">
        <f>AND(#REF!,"AAAAAGzF/2I=")</f>
        <v>#REF!</v>
      </c>
      <c r="CV46" t="e">
        <f>IF(#REF!,"AAAAAGzF/2M=",0)</f>
        <v>#REF!</v>
      </c>
      <c r="CW46" t="e">
        <f>AND(#REF!,"AAAAAGzF/2Q=")</f>
        <v>#REF!</v>
      </c>
      <c r="CX46" t="e">
        <f>AND(#REF!,"AAAAAGzF/2U=")</f>
        <v>#REF!</v>
      </c>
      <c r="CY46" t="e">
        <f>AND(#REF!,"AAAAAGzF/2Y=")</f>
        <v>#REF!</v>
      </c>
      <c r="CZ46" t="e">
        <f>AND(#REF!,"AAAAAGzF/2c=")</f>
        <v>#REF!</v>
      </c>
      <c r="DA46" t="e">
        <f>AND(#REF!,"AAAAAGzF/2g=")</f>
        <v>#REF!</v>
      </c>
      <c r="DB46" t="e">
        <f>AND(#REF!,"AAAAAGzF/2k=")</f>
        <v>#REF!</v>
      </c>
      <c r="DC46" t="e">
        <f>AND(#REF!,"AAAAAGzF/2o=")</f>
        <v>#REF!</v>
      </c>
      <c r="DD46" t="e">
        <f>AND(#REF!,"AAAAAGzF/2s=")</f>
        <v>#REF!</v>
      </c>
      <c r="DE46" t="e">
        <f>AND(#REF!,"AAAAAGzF/2w=")</f>
        <v>#REF!</v>
      </c>
      <c r="DF46" t="e">
        <f>AND(#REF!,"AAAAAGzF/20=")</f>
        <v>#REF!</v>
      </c>
      <c r="DG46" t="e">
        <f>AND(#REF!,"AAAAAGzF/24=")</f>
        <v>#REF!</v>
      </c>
      <c r="DH46" t="e">
        <f>AND(#REF!,"AAAAAGzF/28=")</f>
        <v>#REF!</v>
      </c>
      <c r="DI46" t="e">
        <f>AND(#REF!,"AAAAAGzF/3A=")</f>
        <v>#REF!</v>
      </c>
      <c r="DJ46" t="e">
        <f>AND(#REF!,"AAAAAGzF/3E=")</f>
        <v>#REF!</v>
      </c>
      <c r="DK46" t="e">
        <f>IF(#REF!,"AAAAAGzF/3I=",0)</f>
        <v>#REF!</v>
      </c>
      <c r="DL46" t="e">
        <f>AND(#REF!,"AAAAAGzF/3M=")</f>
        <v>#REF!</v>
      </c>
      <c r="DM46" t="e">
        <f>AND(#REF!,"AAAAAGzF/3Q=")</f>
        <v>#REF!</v>
      </c>
      <c r="DN46" t="e">
        <f>AND(#REF!,"AAAAAGzF/3U=")</f>
        <v>#REF!</v>
      </c>
      <c r="DO46" t="e">
        <f>AND(#REF!,"AAAAAGzF/3Y=")</f>
        <v>#REF!</v>
      </c>
      <c r="DP46" t="e">
        <f>AND(#REF!,"AAAAAGzF/3c=")</f>
        <v>#REF!</v>
      </c>
      <c r="DQ46" t="e">
        <f>AND(#REF!,"AAAAAGzF/3g=")</f>
        <v>#REF!</v>
      </c>
      <c r="DR46" t="e">
        <f>AND(#REF!,"AAAAAGzF/3k=")</f>
        <v>#REF!</v>
      </c>
      <c r="DS46" t="e">
        <f>AND(#REF!,"AAAAAGzF/3o=")</f>
        <v>#REF!</v>
      </c>
      <c r="DT46" t="e">
        <f>AND(#REF!,"AAAAAGzF/3s=")</f>
        <v>#REF!</v>
      </c>
      <c r="DU46" t="e">
        <f>AND(#REF!,"AAAAAGzF/3w=")</f>
        <v>#REF!</v>
      </c>
      <c r="DV46" t="e">
        <f>AND(#REF!,"AAAAAGzF/30=")</f>
        <v>#REF!</v>
      </c>
      <c r="DW46" t="e">
        <f>AND(#REF!,"AAAAAGzF/34=")</f>
        <v>#REF!</v>
      </c>
      <c r="DX46" t="e">
        <f>AND(#REF!,"AAAAAGzF/38=")</f>
        <v>#REF!</v>
      </c>
      <c r="DY46" t="e">
        <f>AND(#REF!,"AAAAAGzF/4A=")</f>
        <v>#REF!</v>
      </c>
      <c r="DZ46" t="e">
        <f>IF(#REF!,"AAAAAGzF/4E=",0)</f>
        <v>#REF!</v>
      </c>
      <c r="EA46" t="e">
        <f>AND(#REF!,"AAAAAGzF/4I=")</f>
        <v>#REF!</v>
      </c>
      <c r="EB46" t="e">
        <f>AND(#REF!,"AAAAAGzF/4M=")</f>
        <v>#REF!</v>
      </c>
      <c r="EC46" t="e">
        <f>AND(#REF!,"AAAAAGzF/4Q=")</f>
        <v>#REF!</v>
      </c>
      <c r="ED46" t="e">
        <f>AND(#REF!,"AAAAAGzF/4U=")</f>
        <v>#REF!</v>
      </c>
      <c r="EE46" t="e">
        <f>AND(#REF!,"AAAAAGzF/4Y=")</f>
        <v>#REF!</v>
      </c>
      <c r="EF46" t="e">
        <f>AND(#REF!,"AAAAAGzF/4c=")</f>
        <v>#REF!</v>
      </c>
      <c r="EG46" t="e">
        <f>AND(#REF!,"AAAAAGzF/4g=")</f>
        <v>#REF!</v>
      </c>
      <c r="EH46" t="e">
        <f>AND(#REF!,"AAAAAGzF/4k=")</f>
        <v>#REF!</v>
      </c>
      <c r="EI46" t="e">
        <f>AND(#REF!,"AAAAAGzF/4o=")</f>
        <v>#REF!</v>
      </c>
      <c r="EJ46" t="e">
        <f>AND(#REF!,"AAAAAGzF/4s=")</f>
        <v>#REF!</v>
      </c>
      <c r="EK46" t="e">
        <f>AND(#REF!,"AAAAAGzF/4w=")</f>
        <v>#REF!</v>
      </c>
      <c r="EL46" t="e">
        <f>AND(#REF!,"AAAAAGzF/40=")</f>
        <v>#REF!</v>
      </c>
      <c r="EM46" t="e">
        <f>AND(#REF!,"AAAAAGzF/44=")</f>
        <v>#REF!</v>
      </c>
      <c r="EN46" t="e">
        <f>AND(#REF!,"AAAAAGzF/48=")</f>
        <v>#REF!</v>
      </c>
      <c r="EO46" t="e">
        <f>IF(#REF!,"AAAAAGzF/5A=",0)</f>
        <v>#REF!</v>
      </c>
      <c r="EP46" t="e">
        <f>AND(#REF!,"AAAAAGzF/5E=")</f>
        <v>#REF!</v>
      </c>
      <c r="EQ46" t="e">
        <f>AND(#REF!,"AAAAAGzF/5I=")</f>
        <v>#REF!</v>
      </c>
      <c r="ER46" t="e">
        <f>AND(#REF!,"AAAAAGzF/5M=")</f>
        <v>#REF!</v>
      </c>
      <c r="ES46" t="e">
        <f>AND(#REF!,"AAAAAGzF/5Q=")</f>
        <v>#REF!</v>
      </c>
      <c r="ET46" t="e">
        <f>AND(#REF!,"AAAAAGzF/5U=")</f>
        <v>#REF!</v>
      </c>
      <c r="EU46" t="e">
        <f>AND(#REF!,"AAAAAGzF/5Y=")</f>
        <v>#REF!</v>
      </c>
      <c r="EV46" t="e">
        <f>AND(#REF!,"AAAAAGzF/5c=")</f>
        <v>#REF!</v>
      </c>
      <c r="EW46" t="e">
        <f>AND(#REF!,"AAAAAGzF/5g=")</f>
        <v>#REF!</v>
      </c>
      <c r="EX46" t="e">
        <f>AND(#REF!,"AAAAAGzF/5k=")</f>
        <v>#REF!</v>
      </c>
      <c r="EY46" t="e">
        <f>AND(#REF!,"AAAAAGzF/5o=")</f>
        <v>#REF!</v>
      </c>
      <c r="EZ46" t="e">
        <f>AND(#REF!,"AAAAAGzF/5s=")</f>
        <v>#REF!</v>
      </c>
      <c r="FA46" t="e">
        <f>AND(#REF!,"AAAAAGzF/5w=")</f>
        <v>#REF!</v>
      </c>
      <c r="FB46" t="e">
        <f>AND(#REF!,"AAAAAGzF/50=")</f>
        <v>#REF!</v>
      </c>
      <c r="FC46" t="e">
        <f>AND(#REF!,"AAAAAGzF/54=")</f>
        <v>#REF!</v>
      </c>
      <c r="FD46" t="e">
        <f>IF(#REF!,"AAAAAGzF/58=",0)</f>
        <v>#REF!</v>
      </c>
      <c r="FE46" t="e">
        <f>AND(#REF!,"AAAAAGzF/6A=")</f>
        <v>#REF!</v>
      </c>
      <c r="FF46" t="e">
        <f>AND(#REF!,"AAAAAGzF/6E=")</f>
        <v>#REF!</v>
      </c>
      <c r="FG46" t="e">
        <f>AND(#REF!,"AAAAAGzF/6I=")</f>
        <v>#REF!</v>
      </c>
      <c r="FH46" t="e">
        <f>AND(#REF!,"AAAAAGzF/6M=")</f>
        <v>#REF!</v>
      </c>
      <c r="FI46" t="e">
        <f>AND(#REF!,"AAAAAGzF/6Q=")</f>
        <v>#REF!</v>
      </c>
      <c r="FJ46" t="e">
        <f>AND(#REF!,"AAAAAGzF/6U=")</f>
        <v>#REF!</v>
      </c>
      <c r="FK46" t="e">
        <f>AND(#REF!,"AAAAAGzF/6Y=")</f>
        <v>#REF!</v>
      </c>
      <c r="FL46" t="e">
        <f>AND(#REF!,"AAAAAGzF/6c=")</f>
        <v>#REF!</v>
      </c>
      <c r="FM46" t="e">
        <f>AND(#REF!,"AAAAAGzF/6g=")</f>
        <v>#REF!</v>
      </c>
      <c r="FN46" t="e">
        <f>AND(#REF!,"AAAAAGzF/6k=")</f>
        <v>#REF!</v>
      </c>
      <c r="FO46" t="e">
        <f>AND(#REF!,"AAAAAGzF/6o=")</f>
        <v>#REF!</v>
      </c>
      <c r="FP46" t="e">
        <f>AND(#REF!,"AAAAAGzF/6s=")</f>
        <v>#REF!</v>
      </c>
      <c r="FQ46" t="e">
        <f>AND(#REF!,"AAAAAGzF/6w=")</f>
        <v>#REF!</v>
      </c>
      <c r="FR46" t="e">
        <f>AND(#REF!,"AAAAAGzF/60=")</f>
        <v>#REF!</v>
      </c>
      <c r="FS46" t="e">
        <f>IF(#REF!,"AAAAAGzF/64=",0)</f>
        <v>#REF!</v>
      </c>
      <c r="FT46" t="e">
        <f>AND(#REF!,"AAAAAGzF/68=")</f>
        <v>#REF!</v>
      </c>
      <c r="FU46" t="e">
        <f>AND(#REF!,"AAAAAGzF/7A=")</f>
        <v>#REF!</v>
      </c>
      <c r="FV46" t="e">
        <f>AND(#REF!,"AAAAAGzF/7E=")</f>
        <v>#REF!</v>
      </c>
      <c r="FW46" t="e">
        <f>AND(#REF!,"AAAAAGzF/7I=")</f>
        <v>#REF!</v>
      </c>
      <c r="FX46" t="e">
        <f>AND(#REF!,"AAAAAGzF/7M=")</f>
        <v>#REF!</v>
      </c>
      <c r="FY46" t="e">
        <f>AND(#REF!,"AAAAAGzF/7Q=")</f>
        <v>#REF!</v>
      </c>
      <c r="FZ46" t="e">
        <f>AND(#REF!,"AAAAAGzF/7U=")</f>
        <v>#REF!</v>
      </c>
      <c r="GA46" t="e">
        <f>AND(#REF!,"AAAAAGzF/7Y=")</f>
        <v>#REF!</v>
      </c>
      <c r="GB46" t="e">
        <f>AND(#REF!,"AAAAAGzF/7c=")</f>
        <v>#REF!</v>
      </c>
      <c r="GC46" t="e">
        <f>AND(#REF!,"AAAAAGzF/7g=")</f>
        <v>#REF!</v>
      </c>
      <c r="GD46" t="e">
        <f>AND(#REF!,"AAAAAGzF/7k=")</f>
        <v>#REF!</v>
      </c>
      <c r="GE46" t="e">
        <f>AND(#REF!,"AAAAAGzF/7o=")</f>
        <v>#REF!</v>
      </c>
      <c r="GF46" t="e">
        <f>AND(#REF!,"AAAAAGzF/7s=")</f>
        <v>#REF!</v>
      </c>
      <c r="GG46" t="e">
        <f>AND(#REF!,"AAAAAGzF/7w=")</f>
        <v>#REF!</v>
      </c>
      <c r="GH46" t="e">
        <f>IF(#REF!,"AAAAAGzF/70=",0)</f>
        <v>#REF!</v>
      </c>
      <c r="GI46" t="e">
        <f>AND(#REF!,"AAAAAGzF/74=")</f>
        <v>#REF!</v>
      </c>
      <c r="GJ46" t="e">
        <f>AND(#REF!,"AAAAAGzF/78=")</f>
        <v>#REF!</v>
      </c>
      <c r="GK46" t="e">
        <f>AND(#REF!,"AAAAAGzF/8A=")</f>
        <v>#REF!</v>
      </c>
      <c r="GL46" t="e">
        <f>AND(#REF!,"AAAAAGzF/8E=")</f>
        <v>#REF!</v>
      </c>
      <c r="GM46" t="e">
        <f>AND(#REF!,"AAAAAGzF/8I=")</f>
        <v>#REF!</v>
      </c>
      <c r="GN46" t="e">
        <f>AND(#REF!,"AAAAAGzF/8M=")</f>
        <v>#REF!</v>
      </c>
      <c r="GO46" t="e">
        <f>AND(#REF!,"AAAAAGzF/8Q=")</f>
        <v>#REF!</v>
      </c>
      <c r="GP46" t="e">
        <f>AND(#REF!,"AAAAAGzF/8U=")</f>
        <v>#REF!</v>
      </c>
      <c r="GQ46" t="e">
        <f>AND(#REF!,"AAAAAGzF/8Y=")</f>
        <v>#REF!</v>
      </c>
      <c r="GR46" t="e">
        <f>AND(#REF!,"AAAAAGzF/8c=")</f>
        <v>#REF!</v>
      </c>
      <c r="GS46" t="e">
        <f>AND(#REF!,"AAAAAGzF/8g=")</f>
        <v>#REF!</v>
      </c>
      <c r="GT46" t="e">
        <f>AND(#REF!,"AAAAAGzF/8k=")</f>
        <v>#REF!</v>
      </c>
      <c r="GU46" t="e">
        <f>AND(#REF!,"AAAAAGzF/8o=")</f>
        <v>#REF!</v>
      </c>
      <c r="GV46" t="e">
        <f>AND(#REF!,"AAAAAGzF/8s=")</f>
        <v>#REF!</v>
      </c>
      <c r="GW46" t="e">
        <f>IF(#REF!,"AAAAAGzF/8w=",0)</f>
        <v>#REF!</v>
      </c>
      <c r="GX46" t="e">
        <f>IF(#REF!,"AAAAAGzF/80=",0)</f>
        <v>#REF!</v>
      </c>
      <c r="GY46" t="e">
        <f>IF(#REF!,"AAAAAGzF/84=",0)</f>
        <v>#REF!</v>
      </c>
      <c r="GZ46" t="e">
        <f>IF(#REF!,"AAAAAGzF/88=",0)</f>
        <v>#REF!</v>
      </c>
      <c r="HA46" t="e">
        <f>IF(#REF!,"AAAAAGzF/9A=",0)</f>
        <v>#REF!</v>
      </c>
      <c r="HB46" t="e">
        <f>IF(#REF!,"AAAAAGzF/9E=",0)</f>
        <v>#REF!</v>
      </c>
      <c r="HC46" t="e">
        <f>IF(#REF!,"AAAAAGzF/9I=",0)</f>
        <v>#REF!</v>
      </c>
      <c r="HD46" t="e">
        <f>IF(#REF!,"AAAAAGzF/9M=",0)</f>
        <v>#REF!</v>
      </c>
      <c r="HE46" t="e">
        <f>IF(#REF!,"AAAAAGzF/9Q=",0)</f>
        <v>#REF!</v>
      </c>
      <c r="HF46" t="e">
        <f>IF(#REF!,"AAAAAGzF/9U=",0)</f>
        <v>#REF!</v>
      </c>
      <c r="HG46" t="e">
        <f>IF(#REF!,"AAAAAGzF/9Y=",0)</f>
        <v>#REF!</v>
      </c>
      <c r="HH46" t="e">
        <f>IF(#REF!,"AAAAAGzF/9c=",0)</f>
        <v>#REF!</v>
      </c>
      <c r="HI46" t="e">
        <f>IF(#REF!,"AAAAAGzF/9g=",0)</f>
        <v>#REF!</v>
      </c>
      <c r="HJ46" t="e">
        <f>IF(#REF!,"AAAAAGzF/9k=",0)</f>
        <v>#REF!</v>
      </c>
      <c r="HK46" t="e">
        <f>IF(#REF!,"AAAAAGzF/9o=",0)</f>
        <v>#REF!</v>
      </c>
      <c r="HL46" t="e">
        <f>AND(#REF!,"AAAAAGzF/9s=")</f>
        <v>#REF!</v>
      </c>
      <c r="HM46" t="e">
        <f>AND(#REF!,"AAAAAGzF/9w=")</f>
        <v>#REF!</v>
      </c>
      <c r="HN46" t="e">
        <f>AND(#REF!,"AAAAAGzF/90=")</f>
        <v>#REF!</v>
      </c>
      <c r="HO46" t="e">
        <f>AND(#REF!,"AAAAAGzF/94=")</f>
        <v>#REF!</v>
      </c>
      <c r="HP46" t="e">
        <f>AND(#REF!,"AAAAAGzF/98=")</f>
        <v>#REF!</v>
      </c>
      <c r="HQ46" t="e">
        <f>AND(#REF!,"AAAAAGzF/+A=")</f>
        <v>#REF!</v>
      </c>
      <c r="HR46" t="e">
        <f>AND(#REF!,"AAAAAGzF/+E=")</f>
        <v>#REF!</v>
      </c>
      <c r="HS46" t="e">
        <f>AND(#REF!,"AAAAAGzF/+I=")</f>
        <v>#REF!</v>
      </c>
      <c r="HT46" t="e">
        <f>AND(#REF!,"AAAAAGzF/+M=")</f>
        <v>#REF!</v>
      </c>
      <c r="HU46" t="e">
        <f>AND(#REF!,"AAAAAGzF/+Q=")</f>
        <v>#REF!</v>
      </c>
      <c r="HV46" t="e">
        <f>AND(#REF!,"AAAAAGzF/+U=")</f>
        <v>#REF!</v>
      </c>
      <c r="HW46" t="e">
        <f>AND(#REF!,"AAAAAGzF/+Y=")</f>
        <v>#REF!</v>
      </c>
      <c r="HX46" t="e">
        <f>AND(#REF!,"AAAAAGzF/+c=")</f>
        <v>#REF!</v>
      </c>
      <c r="HY46" t="e">
        <f>AND(#REF!,"AAAAAGzF/+g=")</f>
        <v>#REF!</v>
      </c>
      <c r="HZ46" t="e">
        <f>IF(#REF!,"AAAAAGzF/+k=",0)</f>
        <v>#REF!</v>
      </c>
      <c r="IA46" t="e">
        <f>AND(#REF!,"AAAAAGzF/+o=")</f>
        <v>#REF!</v>
      </c>
      <c r="IB46" t="e">
        <f>AND(#REF!,"AAAAAGzF/+s=")</f>
        <v>#REF!</v>
      </c>
      <c r="IC46" t="e">
        <f>AND(#REF!,"AAAAAGzF/+w=")</f>
        <v>#REF!</v>
      </c>
      <c r="ID46" t="e">
        <f>AND(#REF!,"AAAAAGzF/+0=")</f>
        <v>#REF!</v>
      </c>
      <c r="IE46" t="e">
        <f>AND(#REF!,"AAAAAGzF/+4=")</f>
        <v>#REF!</v>
      </c>
      <c r="IF46" t="e">
        <f>AND(#REF!,"AAAAAGzF/+8=")</f>
        <v>#REF!</v>
      </c>
      <c r="IG46" t="e">
        <f>AND(#REF!,"AAAAAGzF//A=")</f>
        <v>#REF!</v>
      </c>
      <c r="IH46" t="e">
        <f>AND(#REF!,"AAAAAGzF//E=")</f>
        <v>#REF!</v>
      </c>
      <c r="II46" t="e">
        <f>AND(#REF!,"AAAAAGzF//I=")</f>
        <v>#REF!</v>
      </c>
      <c r="IJ46" t="e">
        <f>AND(#REF!,"AAAAAGzF//M=")</f>
        <v>#REF!</v>
      </c>
      <c r="IK46" t="e">
        <f>AND(#REF!,"AAAAAGzF//Q=")</f>
        <v>#REF!</v>
      </c>
      <c r="IL46" t="e">
        <f>AND(#REF!,"AAAAAGzF//U=")</f>
        <v>#REF!</v>
      </c>
      <c r="IM46" t="e">
        <f>AND(#REF!,"AAAAAGzF//Y=")</f>
        <v>#REF!</v>
      </c>
      <c r="IN46" t="e">
        <f>AND(#REF!,"AAAAAGzF//c=")</f>
        <v>#REF!</v>
      </c>
      <c r="IO46" t="e">
        <f>IF(#REF!,"AAAAAGzF//g=",0)</f>
        <v>#REF!</v>
      </c>
      <c r="IP46" t="e">
        <f>AND(#REF!,"AAAAAGzF//k=")</f>
        <v>#REF!</v>
      </c>
      <c r="IQ46" t="e">
        <f>AND(#REF!,"AAAAAGzF//o=")</f>
        <v>#REF!</v>
      </c>
      <c r="IR46" t="e">
        <f>AND(#REF!,"AAAAAGzF//s=")</f>
        <v>#REF!</v>
      </c>
      <c r="IS46" t="e">
        <f>AND(#REF!,"AAAAAGzF//w=")</f>
        <v>#REF!</v>
      </c>
      <c r="IT46" t="e">
        <f>AND(#REF!,"AAAAAGzF//0=")</f>
        <v>#REF!</v>
      </c>
      <c r="IU46" t="e">
        <f>AND(#REF!,"AAAAAGzF//4=")</f>
        <v>#REF!</v>
      </c>
      <c r="IV46" t="e">
        <f>AND(#REF!,"AAAAAGzF//8=")</f>
        <v>#REF!</v>
      </c>
    </row>
    <row r="47" spans="1:256">
      <c r="A47" t="e">
        <f>AND(#REF!,"AAAAAH3/YQA=")</f>
        <v>#REF!</v>
      </c>
      <c r="B47" t="e">
        <f>AND(#REF!,"AAAAAH3/YQE=")</f>
        <v>#REF!</v>
      </c>
      <c r="C47" t="e">
        <f>AND(#REF!,"AAAAAH3/YQI=")</f>
        <v>#REF!</v>
      </c>
      <c r="D47" t="e">
        <f>AND(#REF!,"AAAAAH3/YQM=")</f>
        <v>#REF!</v>
      </c>
      <c r="E47" t="e">
        <f>AND(#REF!,"AAAAAH3/YQQ=")</f>
        <v>#REF!</v>
      </c>
      <c r="F47" t="e">
        <f>AND(#REF!,"AAAAAH3/YQU=")</f>
        <v>#REF!</v>
      </c>
      <c r="G47" t="e">
        <f>AND(#REF!,"AAAAAH3/YQY=")</f>
        <v>#REF!</v>
      </c>
      <c r="H47" t="e">
        <f>IF(#REF!,"AAAAAH3/YQc=",0)</f>
        <v>#REF!</v>
      </c>
      <c r="I47" t="e">
        <f>AND(#REF!,"AAAAAH3/YQg=")</f>
        <v>#REF!</v>
      </c>
      <c r="J47" t="e">
        <f>AND(#REF!,"AAAAAH3/YQk=")</f>
        <v>#REF!</v>
      </c>
      <c r="K47" t="e">
        <f>AND(#REF!,"AAAAAH3/YQo=")</f>
        <v>#REF!</v>
      </c>
      <c r="L47" t="e">
        <f>AND(#REF!,"AAAAAH3/YQs=")</f>
        <v>#REF!</v>
      </c>
      <c r="M47" t="e">
        <f>AND(#REF!,"AAAAAH3/YQw=")</f>
        <v>#REF!</v>
      </c>
      <c r="N47" t="e">
        <f>AND(#REF!,"AAAAAH3/YQ0=")</f>
        <v>#REF!</v>
      </c>
      <c r="O47" t="e">
        <f>AND(#REF!,"AAAAAH3/YQ4=")</f>
        <v>#REF!</v>
      </c>
      <c r="P47" t="e">
        <f>AND(#REF!,"AAAAAH3/YQ8=")</f>
        <v>#REF!</v>
      </c>
      <c r="Q47" t="e">
        <f>AND(#REF!,"AAAAAH3/YRA=")</f>
        <v>#REF!</v>
      </c>
      <c r="R47" t="e">
        <f>AND(#REF!,"AAAAAH3/YRE=")</f>
        <v>#REF!</v>
      </c>
      <c r="S47" t="e">
        <f>AND(#REF!,"AAAAAH3/YRI=")</f>
        <v>#REF!</v>
      </c>
      <c r="T47" t="e">
        <f>AND(#REF!,"AAAAAH3/YRM=")</f>
        <v>#REF!</v>
      </c>
      <c r="U47" t="e">
        <f>AND(#REF!,"AAAAAH3/YRQ=")</f>
        <v>#REF!</v>
      </c>
      <c r="V47" t="e">
        <f>AND(#REF!,"AAAAAH3/YRU=")</f>
        <v>#REF!</v>
      </c>
      <c r="W47" t="e">
        <f>IF(#REF!,"AAAAAH3/YRY=",0)</f>
        <v>#REF!</v>
      </c>
      <c r="X47" t="e">
        <f>AND(#REF!,"AAAAAH3/YRc=")</f>
        <v>#REF!</v>
      </c>
      <c r="Y47" t="e">
        <f>AND(#REF!,"AAAAAH3/YRg=")</f>
        <v>#REF!</v>
      </c>
      <c r="Z47" t="e">
        <f>AND(#REF!,"AAAAAH3/YRk=")</f>
        <v>#REF!</v>
      </c>
      <c r="AA47" t="e">
        <f>AND(#REF!,"AAAAAH3/YRo=")</f>
        <v>#REF!</v>
      </c>
      <c r="AB47" t="e">
        <f>AND(#REF!,"AAAAAH3/YRs=")</f>
        <v>#REF!</v>
      </c>
      <c r="AC47" t="e">
        <f>AND(#REF!,"AAAAAH3/YRw=")</f>
        <v>#REF!</v>
      </c>
      <c r="AD47" t="e">
        <f>AND(#REF!,"AAAAAH3/YR0=")</f>
        <v>#REF!</v>
      </c>
      <c r="AE47" t="e">
        <f>AND(#REF!,"AAAAAH3/YR4=")</f>
        <v>#REF!</v>
      </c>
      <c r="AF47" t="e">
        <f>AND(#REF!,"AAAAAH3/YR8=")</f>
        <v>#REF!</v>
      </c>
      <c r="AG47" t="e">
        <f>AND(#REF!,"AAAAAH3/YSA=")</f>
        <v>#REF!</v>
      </c>
      <c r="AH47" t="e">
        <f>AND(#REF!,"AAAAAH3/YSE=")</f>
        <v>#REF!</v>
      </c>
      <c r="AI47" t="e">
        <f>AND(#REF!,"AAAAAH3/YSI=")</f>
        <v>#REF!</v>
      </c>
      <c r="AJ47" t="e">
        <f>AND(#REF!,"AAAAAH3/YSM=")</f>
        <v>#REF!</v>
      </c>
      <c r="AK47" t="e">
        <f>AND(#REF!,"AAAAAH3/YSQ=")</f>
        <v>#REF!</v>
      </c>
      <c r="AL47" t="e">
        <f>IF(#REF!,"AAAAAH3/YSU=",0)</f>
        <v>#REF!</v>
      </c>
      <c r="AM47" t="e">
        <f>AND(#REF!,"AAAAAH3/YSY=")</f>
        <v>#REF!</v>
      </c>
      <c r="AN47" t="e">
        <f>AND(#REF!,"AAAAAH3/YSc=")</f>
        <v>#REF!</v>
      </c>
      <c r="AO47" t="e">
        <f>AND(#REF!,"AAAAAH3/YSg=")</f>
        <v>#REF!</v>
      </c>
      <c r="AP47" t="e">
        <f>AND(#REF!,"AAAAAH3/YSk=")</f>
        <v>#REF!</v>
      </c>
      <c r="AQ47" t="e">
        <f>AND(#REF!,"AAAAAH3/YSo=")</f>
        <v>#REF!</v>
      </c>
      <c r="AR47" t="e">
        <f>AND(#REF!,"AAAAAH3/YSs=")</f>
        <v>#REF!</v>
      </c>
      <c r="AS47" t="e">
        <f>AND(#REF!,"AAAAAH3/YSw=")</f>
        <v>#REF!</v>
      </c>
      <c r="AT47" t="e">
        <f>AND(#REF!,"AAAAAH3/YS0=")</f>
        <v>#REF!</v>
      </c>
      <c r="AU47" t="e">
        <f>AND(#REF!,"AAAAAH3/YS4=")</f>
        <v>#REF!</v>
      </c>
      <c r="AV47" t="e">
        <f>AND(#REF!,"AAAAAH3/YS8=")</f>
        <v>#REF!</v>
      </c>
      <c r="AW47" t="e">
        <f>AND(#REF!,"AAAAAH3/YTA=")</f>
        <v>#REF!</v>
      </c>
      <c r="AX47" t="e">
        <f>AND(#REF!,"AAAAAH3/YTE=")</f>
        <v>#REF!</v>
      </c>
      <c r="AY47" t="e">
        <f>AND(#REF!,"AAAAAH3/YTI=")</f>
        <v>#REF!</v>
      </c>
      <c r="AZ47" t="e">
        <f>AND(#REF!,"AAAAAH3/YTM=")</f>
        <v>#REF!</v>
      </c>
      <c r="BA47" t="e">
        <f>IF(#REF!,"AAAAAH3/YTQ=",0)</f>
        <v>#REF!</v>
      </c>
      <c r="BB47" t="e">
        <f>AND(#REF!,"AAAAAH3/YTU=")</f>
        <v>#REF!</v>
      </c>
      <c r="BC47" t="e">
        <f>AND(#REF!,"AAAAAH3/YTY=")</f>
        <v>#REF!</v>
      </c>
      <c r="BD47" t="e">
        <f>AND(#REF!,"AAAAAH3/YTc=")</f>
        <v>#REF!</v>
      </c>
      <c r="BE47" t="e">
        <f>AND(#REF!,"AAAAAH3/YTg=")</f>
        <v>#REF!</v>
      </c>
      <c r="BF47" t="e">
        <f>AND(#REF!,"AAAAAH3/YTk=")</f>
        <v>#REF!</v>
      </c>
      <c r="BG47" t="e">
        <f>AND(#REF!,"AAAAAH3/YTo=")</f>
        <v>#REF!</v>
      </c>
      <c r="BH47" t="e">
        <f>AND(#REF!,"AAAAAH3/YTs=")</f>
        <v>#REF!</v>
      </c>
      <c r="BI47" t="e">
        <f>AND(#REF!,"AAAAAH3/YTw=")</f>
        <v>#REF!</v>
      </c>
      <c r="BJ47" t="e">
        <f>AND(#REF!,"AAAAAH3/YT0=")</f>
        <v>#REF!</v>
      </c>
      <c r="BK47" t="e">
        <f>AND(#REF!,"AAAAAH3/YT4=")</f>
        <v>#REF!</v>
      </c>
      <c r="BL47" t="e">
        <f>AND(#REF!,"AAAAAH3/YT8=")</f>
        <v>#REF!</v>
      </c>
      <c r="BM47" t="e">
        <f>AND(#REF!,"AAAAAH3/YUA=")</f>
        <v>#REF!</v>
      </c>
      <c r="BN47" t="e">
        <f>AND(#REF!,"AAAAAH3/YUE=")</f>
        <v>#REF!</v>
      </c>
      <c r="BO47" t="e">
        <f>AND(#REF!,"AAAAAH3/YUI=")</f>
        <v>#REF!</v>
      </c>
      <c r="BP47" t="e">
        <f>IF(#REF!,"AAAAAH3/YUM=",0)</f>
        <v>#REF!</v>
      </c>
      <c r="BQ47" t="e">
        <f>AND(#REF!,"AAAAAH3/YUQ=")</f>
        <v>#REF!</v>
      </c>
      <c r="BR47" t="e">
        <f>AND(#REF!,"AAAAAH3/YUU=")</f>
        <v>#REF!</v>
      </c>
      <c r="BS47" t="e">
        <f>AND(#REF!,"AAAAAH3/YUY=")</f>
        <v>#REF!</v>
      </c>
      <c r="BT47" t="e">
        <f>AND(#REF!,"AAAAAH3/YUc=")</f>
        <v>#REF!</v>
      </c>
      <c r="BU47" t="e">
        <f>AND(#REF!,"AAAAAH3/YUg=")</f>
        <v>#REF!</v>
      </c>
      <c r="BV47" t="e">
        <f>AND(#REF!,"AAAAAH3/YUk=")</f>
        <v>#REF!</v>
      </c>
      <c r="BW47" t="e">
        <f>AND(#REF!,"AAAAAH3/YUo=")</f>
        <v>#REF!</v>
      </c>
      <c r="BX47" t="e">
        <f>AND(#REF!,"AAAAAH3/YUs=")</f>
        <v>#REF!</v>
      </c>
      <c r="BY47" t="e">
        <f>AND(#REF!,"AAAAAH3/YUw=")</f>
        <v>#REF!</v>
      </c>
      <c r="BZ47" t="e">
        <f>AND(#REF!,"AAAAAH3/YU0=")</f>
        <v>#REF!</v>
      </c>
      <c r="CA47" t="e">
        <f>AND(#REF!,"AAAAAH3/YU4=")</f>
        <v>#REF!</v>
      </c>
      <c r="CB47" t="e">
        <f>AND(#REF!,"AAAAAH3/YU8=")</f>
        <v>#REF!</v>
      </c>
      <c r="CC47" t="e">
        <f>AND(#REF!,"AAAAAH3/YVA=")</f>
        <v>#REF!</v>
      </c>
      <c r="CD47" t="e">
        <f>AND(#REF!,"AAAAAH3/YVE=")</f>
        <v>#REF!</v>
      </c>
      <c r="CE47" t="e">
        <f>IF(#REF!,"AAAAAH3/YVI=",0)</f>
        <v>#REF!</v>
      </c>
      <c r="CF47" t="e">
        <f>AND(#REF!,"AAAAAH3/YVM=")</f>
        <v>#REF!</v>
      </c>
      <c r="CG47" t="e">
        <f>AND(#REF!,"AAAAAH3/YVQ=")</f>
        <v>#REF!</v>
      </c>
      <c r="CH47" t="e">
        <f>AND(#REF!,"AAAAAH3/YVU=")</f>
        <v>#REF!</v>
      </c>
      <c r="CI47" t="e">
        <f>AND(#REF!,"AAAAAH3/YVY=")</f>
        <v>#REF!</v>
      </c>
      <c r="CJ47" t="e">
        <f>AND(#REF!,"AAAAAH3/YVc=")</f>
        <v>#REF!</v>
      </c>
      <c r="CK47" t="e">
        <f>AND(#REF!,"AAAAAH3/YVg=")</f>
        <v>#REF!</v>
      </c>
      <c r="CL47" t="e">
        <f>AND(#REF!,"AAAAAH3/YVk=")</f>
        <v>#REF!</v>
      </c>
      <c r="CM47" t="e">
        <f>AND(#REF!,"AAAAAH3/YVo=")</f>
        <v>#REF!</v>
      </c>
      <c r="CN47" t="e">
        <f>AND(#REF!,"AAAAAH3/YVs=")</f>
        <v>#REF!</v>
      </c>
      <c r="CO47" t="e">
        <f>AND(#REF!,"AAAAAH3/YVw=")</f>
        <v>#REF!</v>
      </c>
      <c r="CP47" t="e">
        <f>AND(#REF!,"AAAAAH3/YV0=")</f>
        <v>#REF!</v>
      </c>
      <c r="CQ47" t="e">
        <f>AND(#REF!,"AAAAAH3/YV4=")</f>
        <v>#REF!</v>
      </c>
      <c r="CR47" t="e">
        <f>AND(#REF!,"AAAAAH3/YV8=")</f>
        <v>#REF!</v>
      </c>
      <c r="CS47" t="e">
        <f>AND(#REF!,"AAAAAH3/YWA=")</f>
        <v>#REF!</v>
      </c>
      <c r="CT47" t="e">
        <f>IF(#REF!,"AAAAAH3/YWE=",0)</f>
        <v>#REF!</v>
      </c>
      <c r="CU47" t="e">
        <f>AND(#REF!,"AAAAAH3/YWI=")</f>
        <v>#REF!</v>
      </c>
      <c r="CV47" t="e">
        <f>AND(#REF!,"AAAAAH3/YWM=")</f>
        <v>#REF!</v>
      </c>
      <c r="CW47" t="e">
        <f>AND(#REF!,"AAAAAH3/YWQ=")</f>
        <v>#REF!</v>
      </c>
      <c r="CX47" t="e">
        <f>AND(#REF!,"AAAAAH3/YWU=")</f>
        <v>#REF!</v>
      </c>
      <c r="CY47" t="e">
        <f>AND(#REF!,"AAAAAH3/YWY=")</f>
        <v>#REF!</v>
      </c>
      <c r="CZ47" t="e">
        <f>AND(#REF!,"AAAAAH3/YWc=")</f>
        <v>#REF!</v>
      </c>
      <c r="DA47" t="e">
        <f>AND(#REF!,"AAAAAH3/YWg=")</f>
        <v>#REF!</v>
      </c>
      <c r="DB47" t="e">
        <f>AND(#REF!,"AAAAAH3/YWk=")</f>
        <v>#REF!</v>
      </c>
      <c r="DC47" t="e">
        <f>AND(#REF!,"AAAAAH3/YWo=")</f>
        <v>#REF!</v>
      </c>
      <c r="DD47" t="e">
        <f>AND(#REF!,"AAAAAH3/YWs=")</f>
        <v>#REF!</v>
      </c>
      <c r="DE47" t="e">
        <f>AND(#REF!,"AAAAAH3/YWw=")</f>
        <v>#REF!</v>
      </c>
      <c r="DF47" t="e">
        <f>AND(#REF!,"AAAAAH3/YW0=")</f>
        <v>#REF!</v>
      </c>
      <c r="DG47" t="e">
        <f>AND(#REF!,"AAAAAH3/YW4=")</f>
        <v>#REF!</v>
      </c>
      <c r="DH47" t="e">
        <f>AND(#REF!,"AAAAAH3/YW8=")</f>
        <v>#REF!</v>
      </c>
      <c r="DI47" t="e">
        <f>IF(#REF!,"AAAAAH3/YXA=",0)</f>
        <v>#REF!</v>
      </c>
      <c r="DJ47" t="e">
        <f>AND(#REF!,"AAAAAH3/YXE=")</f>
        <v>#REF!</v>
      </c>
      <c r="DK47" t="e">
        <f>AND(#REF!,"AAAAAH3/YXI=")</f>
        <v>#REF!</v>
      </c>
      <c r="DL47" t="e">
        <f>AND(#REF!,"AAAAAH3/YXM=")</f>
        <v>#REF!</v>
      </c>
      <c r="DM47" t="e">
        <f>AND(#REF!,"AAAAAH3/YXQ=")</f>
        <v>#REF!</v>
      </c>
      <c r="DN47" t="e">
        <f>AND(#REF!,"AAAAAH3/YXU=")</f>
        <v>#REF!</v>
      </c>
      <c r="DO47" t="e">
        <f>AND(#REF!,"AAAAAH3/YXY=")</f>
        <v>#REF!</v>
      </c>
      <c r="DP47" t="e">
        <f>AND(#REF!,"AAAAAH3/YXc=")</f>
        <v>#REF!</v>
      </c>
      <c r="DQ47" t="e">
        <f>AND(#REF!,"AAAAAH3/YXg=")</f>
        <v>#REF!</v>
      </c>
      <c r="DR47" t="e">
        <f>AND(#REF!,"AAAAAH3/YXk=")</f>
        <v>#REF!</v>
      </c>
      <c r="DS47" t="e">
        <f>AND(#REF!,"AAAAAH3/YXo=")</f>
        <v>#REF!</v>
      </c>
      <c r="DT47" t="e">
        <f>AND(#REF!,"AAAAAH3/YXs=")</f>
        <v>#REF!</v>
      </c>
      <c r="DU47" t="e">
        <f>AND(#REF!,"AAAAAH3/YXw=")</f>
        <v>#REF!</v>
      </c>
      <c r="DV47" t="e">
        <f>AND(#REF!,"AAAAAH3/YX0=")</f>
        <v>#REF!</v>
      </c>
      <c r="DW47" t="e">
        <f>AND(#REF!,"AAAAAH3/YX4=")</f>
        <v>#REF!</v>
      </c>
      <c r="DX47" t="e">
        <f>IF(#REF!,"AAAAAH3/YX8=",0)</f>
        <v>#REF!</v>
      </c>
      <c r="DY47" t="e">
        <f>AND(#REF!,"AAAAAH3/YYA=")</f>
        <v>#REF!</v>
      </c>
      <c r="DZ47" t="e">
        <f>AND(#REF!,"AAAAAH3/YYE=")</f>
        <v>#REF!</v>
      </c>
      <c r="EA47" t="e">
        <f>AND(#REF!,"AAAAAH3/YYI=")</f>
        <v>#REF!</v>
      </c>
      <c r="EB47" t="e">
        <f>AND(#REF!,"AAAAAH3/YYM=")</f>
        <v>#REF!</v>
      </c>
      <c r="EC47" t="e">
        <f>AND(#REF!,"AAAAAH3/YYQ=")</f>
        <v>#REF!</v>
      </c>
      <c r="ED47" t="e">
        <f>AND(#REF!,"AAAAAH3/YYU=")</f>
        <v>#REF!</v>
      </c>
      <c r="EE47" t="e">
        <f>AND(#REF!,"AAAAAH3/YYY=")</f>
        <v>#REF!</v>
      </c>
      <c r="EF47" t="e">
        <f>AND(#REF!,"AAAAAH3/YYc=")</f>
        <v>#REF!</v>
      </c>
      <c r="EG47" t="e">
        <f>AND(#REF!,"AAAAAH3/YYg=")</f>
        <v>#REF!</v>
      </c>
      <c r="EH47" t="e">
        <f>AND(#REF!,"AAAAAH3/YYk=")</f>
        <v>#REF!</v>
      </c>
      <c r="EI47" t="e">
        <f>AND(#REF!,"AAAAAH3/YYo=")</f>
        <v>#REF!</v>
      </c>
      <c r="EJ47" t="e">
        <f>AND(#REF!,"AAAAAH3/YYs=")</f>
        <v>#REF!</v>
      </c>
      <c r="EK47" t="e">
        <f>AND(#REF!,"AAAAAH3/YYw=")</f>
        <v>#REF!</v>
      </c>
      <c r="EL47" t="e">
        <f>AND(#REF!,"AAAAAH3/YY0=")</f>
        <v>#REF!</v>
      </c>
      <c r="EM47" t="e">
        <f>IF(#REF!,"AAAAAH3/YY4=",0)</f>
        <v>#REF!</v>
      </c>
      <c r="EN47" t="e">
        <f>AND(#REF!,"AAAAAH3/YY8=")</f>
        <v>#REF!</v>
      </c>
      <c r="EO47" t="e">
        <f>AND(#REF!,"AAAAAH3/YZA=")</f>
        <v>#REF!</v>
      </c>
      <c r="EP47" t="e">
        <f>AND(#REF!,"AAAAAH3/YZE=")</f>
        <v>#REF!</v>
      </c>
      <c r="EQ47" t="e">
        <f>AND(#REF!,"AAAAAH3/YZI=")</f>
        <v>#REF!</v>
      </c>
      <c r="ER47" t="e">
        <f>AND(#REF!,"AAAAAH3/YZM=")</f>
        <v>#REF!</v>
      </c>
      <c r="ES47" t="e">
        <f>AND(#REF!,"AAAAAH3/YZQ=")</f>
        <v>#REF!</v>
      </c>
      <c r="ET47" t="e">
        <f>AND(#REF!,"AAAAAH3/YZU=")</f>
        <v>#REF!</v>
      </c>
      <c r="EU47" t="e">
        <f>AND(#REF!,"AAAAAH3/YZY=")</f>
        <v>#REF!</v>
      </c>
      <c r="EV47" t="e">
        <f>AND(#REF!,"AAAAAH3/YZc=")</f>
        <v>#REF!</v>
      </c>
      <c r="EW47" t="e">
        <f>AND(#REF!,"AAAAAH3/YZg=")</f>
        <v>#REF!</v>
      </c>
      <c r="EX47" t="e">
        <f>AND(#REF!,"AAAAAH3/YZk=")</f>
        <v>#REF!</v>
      </c>
      <c r="EY47" t="e">
        <f>AND(#REF!,"AAAAAH3/YZo=")</f>
        <v>#REF!</v>
      </c>
      <c r="EZ47" t="e">
        <f>AND(#REF!,"AAAAAH3/YZs=")</f>
        <v>#REF!</v>
      </c>
      <c r="FA47" t="e">
        <f>AND(#REF!,"AAAAAH3/YZw=")</f>
        <v>#REF!</v>
      </c>
      <c r="FB47" t="e">
        <f>IF(#REF!,"AAAAAH3/YZ0=",0)</f>
        <v>#REF!</v>
      </c>
      <c r="FC47" t="e">
        <f>AND(#REF!,"AAAAAH3/YZ4=")</f>
        <v>#REF!</v>
      </c>
      <c r="FD47" t="e">
        <f>AND(#REF!,"AAAAAH3/YZ8=")</f>
        <v>#REF!</v>
      </c>
      <c r="FE47" t="e">
        <f>AND(#REF!,"AAAAAH3/YaA=")</f>
        <v>#REF!</v>
      </c>
      <c r="FF47" t="e">
        <f>AND(#REF!,"AAAAAH3/YaE=")</f>
        <v>#REF!</v>
      </c>
      <c r="FG47" t="e">
        <f>AND(#REF!,"AAAAAH3/YaI=")</f>
        <v>#REF!</v>
      </c>
      <c r="FH47" t="e">
        <f>AND(#REF!,"AAAAAH3/YaM=")</f>
        <v>#REF!</v>
      </c>
      <c r="FI47" t="e">
        <f>AND(#REF!,"AAAAAH3/YaQ=")</f>
        <v>#REF!</v>
      </c>
      <c r="FJ47" t="e">
        <f>AND(#REF!,"AAAAAH3/YaU=")</f>
        <v>#REF!</v>
      </c>
      <c r="FK47" t="e">
        <f>AND(#REF!,"AAAAAH3/YaY=")</f>
        <v>#REF!</v>
      </c>
      <c r="FL47" t="e">
        <f>AND(#REF!,"AAAAAH3/Yac=")</f>
        <v>#REF!</v>
      </c>
      <c r="FM47" t="e">
        <f>AND(#REF!,"AAAAAH3/Yag=")</f>
        <v>#REF!</v>
      </c>
      <c r="FN47" t="e">
        <f>AND(#REF!,"AAAAAH3/Yak=")</f>
        <v>#REF!</v>
      </c>
      <c r="FO47" t="e">
        <f>AND(#REF!,"AAAAAH3/Yao=")</f>
        <v>#REF!</v>
      </c>
      <c r="FP47" t="e">
        <f>AND(#REF!,"AAAAAH3/Yas=")</f>
        <v>#REF!</v>
      </c>
      <c r="FQ47" t="e">
        <f>IF(#REF!,"AAAAAH3/Yaw=",0)</f>
        <v>#REF!</v>
      </c>
      <c r="FR47" t="e">
        <f>AND(#REF!,"AAAAAH3/Ya0=")</f>
        <v>#REF!</v>
      </c>
      <c r="FS47" t="e">
        <f>AND(#REF!,"AAAAAH3/Ya4=")</f>
        <v>#REF!</v>
      </c>
      <c r="FT47" t="e">
        <f>AND(#REF!,"AAAAAH3/Ya8=")</f>
        <v>#REF!</v>
      </c>
      <c r="FU47" t="e">
        <f>AND(#REF!,"AAAAAH3/YbA=")</f>
        <v>#REF!</v>
      </c>
      <c r="FV47" t="e">
        <f>AND(#REF!,"AAAAAH3/YbE=")</f>
        <v>#REF!</v>
      </c>
      <c r="FW47" t="e">
        <f>AND(#REF!,"AAAAAH3/YbI=")</f>
        <v>#REF!</v>
      </c>
      <c r="FX47" t="e">
        <f>AND(#REF!,"AAAAAH3/YbM=")</f>
        <v>#REF!</v>
      </c>
      <c r="FY47" t="e">
        <f>AND(#REF!,"AAAAAH3/YbQ=")</f>
        <v>#REF!</v>
      </c>
      <c r="FZ47" t="e">
        <f>AND(#REF!,"AAAAAH3/YbU=")</f>
        <v>#REF!</v>
      </c>
      <c r="GA47" t="e">
        <f>AND(#REF!,"AAAAAH3/YbY=")</f>
        <v>#REF!</v>
      </c>
      <c r="GB47" t="e">
        <f>AND(#REF!,"AAAAAH3/Ybc=")</f>
        <v>#REF!</v>
      </c>
      <c r="GC47" t="e">
        <f>AND(#REF!,"AAAAAH3/Ybg=")</f>
        <v>#REF!</v>
      </c>
      <c r="GD47" t="e">
        <f>AND(#REF!,"AAAAAH3/Ybk=")</f>
        <v>#REF!</v>
      </c>
      <c r="GE47" t="e">
        <f>AND(#REF!,"AAAAAH3/Ybo=")</f>
        <v>#REF!</v>
      </c>
      <c r="GF47" t="e">
        <f>IF(#REF!,"AAAAAH3/Ybs=",0)</f>
        <v>#REF!</v>
      </c>
      <c r="GG47" t="e">
        <f>AND(#REF!,"AAAAAH3/Ybw=")</f>
        <v>#REF!</v>
      </c>
      <c r="GH47" t="e">
        <f>AND(#REF!,"AAAAAH3/Yb0=")</f>
        <v>#REF!</v>
      </c>
      <c r="GI47" t="e">
        <f>AND(#REF!,"AAAAAH3/Yb4=")</f>
        <v>#REF!</v>
      </c>
      <c r="GJ47" t="e">
        <f>AND(#REF!,"AAAAAH3/Yb8=")</f>
        <v>#REF!</v>
      </c>
      <c r="GK47" t="e">
        <f>AND(#REF!,"AAAAAH3/YcA=")</f>
        <v>#REF!</v>
      </c>
      <c r="GL47" t="e">
        <f>AND(#REF!,"AAAAAH3/YcE=")</f>
        <v>#REF!</v>
      </c>
      <c r="GM47" t="e">
        <f>AND(#REF!,"AAAAAH3/YcI=")</f>
        <v>#REF!</v>
      </c>
      <c r="GN47" t="e">
        <f>AND(#REF!,"AAAAAH3/YcM=")</f>
        <v>#REF!</v>
      </c>
      <c r="GO47" t="e">
        <f>AND(#REF!,"AAAAAH3/YcQ=")</f>
        <v>#REF!</v>
      </c>
      <c r="GP47" t="e">
        <f>AND(#REF!,"AAAAAH3/YcU=")</f>
        <v>#REF!</v>
      </c>
      <c r="GQ47" t="e">
        <f>AND(#REF!,"AAAAAH3/YcY=")</f>
        <v>#REF!</v>
      </c>
      <c r="GR47" t="e">
        <f>AND(#REF!,"AAAAAH3/Ycc=")</f>
        <v>#REF!</v>
      </c>
      <c r="GS47" t="e">
        <f>AND(#REF!,"AAAAAH3/Ycg=")</f>
        <v>#REF!</v>
      </c>
      <c r="GT47" t="e">
        <f>AND(#REF!,"AAAAAH3/Yck=")</f>
        <v>#REF!</v>
      </c>
      <c r="GU47" t="e">
        <f>IF(#REF!,"AAAAAH3/Yco=",0)</f>
        <v>#REF!</v>
      </c>
      <c r="GV47" t="e">
        <f>AND(#REF!,"AAAAAH3/Ycs=")</f>
        <v>#REF!</v>
      </c>
      <c r="GW47" t="e">
        <f>AND(#REF!,"AAAAAH3/Ycw=")</f>
        <v>#REF!</v>
      </c>
      <c r="GX47" t="e">
        <f>AND(#REF!,"AAAAAH3/Yc0=")</f>
        <v>#REF!</v>
      </c>
      <c r="GY47" t="e">
        <f>AND(#REF!,"AAAAAH3/Yc4=")</f>
        <v>#REF!</v>
      </c>
      <c r="GZ47" t="e">
        <f>AND(#REF!,"AAAAAH3/Yc8=")</f>
        <v>#REF!</v>
      </c>
      <c r="HA47" t="e">
        <f>AND(#REF!,"AAAAAH3/YdA=")</f>
        <v>#REF!</v>
      </c>
      <c r="HB47" t="e">
        <f>AND(#REF!,"AAAAAH3/YdE=")</f>
        <v>#REF!</v>
      </c>
      <c r="HC47" t="e">
        <f>AND(#REF!,"AAAAAH3/YdI=")</f>
        <v>#REF!</v>
      </c>
      <c r="HD47" t="e">
        <f>AND(#REF!,"AAAAAH3/YdM=")</f>
        <v>#REF!</v>
      </c>
      <c r="HE47" t="e">
        <f>AND(#REF!,"AAAAAH3/YdQ=")</f>
        <v>#REF!</v>
      </c>
      <c r="HF47" t="e">
        <f>AND(#REF!,"AAAAAH3/YdU=")</f>
        <v>#REF!</v>
      </c>
      <c r="HG47" t="e">
        <f>AND(#REF!,"AAAAAH3/YdY=")</f>
        <v>#REF!</v>
      </c>
      <c r="HH47" t="e">
        <f>AND(#REF!,"AAAAAH3/Ydc=")</f>
        <v>#REF!</v>
      </c>
      <c r="HI47" t="e">
        <f>AND(#REF!,"AAAAAH3/Ydg=")</f>
        <v>#REF!</v>
      </c>
      <c r="HJ47" t="e">
        <f>IF(#REF!,"AAAAAH3/Ydk=",0)</f>
        <v>#REF!</v>
      </c>
      <c r="HK47" t="e">
        <f>AND(#REF!,"AAAAAH3/Ydo=")</f>
        <v>#REF!</v>
      </c>
      <c r="HL47" t="e">
        <f>AND(#REF!,"AAAAAH3/Yds=")</f>
        <v>#REF!</v>
      </c>
      <c r="HM47" t="e">
        <f>AND(#REF!,"AAAAAH3/Ydw=")</f>
        <v>#REF!</v>
      </c>
      <c r="HN47" t="e">
        <f>AND(#REF!,"AAAAAH3/Yd0=")</f>
        <v>#REF!</v>
      </c>
      <c r="HO47" t="e">
        <f>AND(#REF!,"AAAAAH3/Yd4=")</f>
        <v>#REF!</v>
      </c>
      <c r="HP47" t="e">
        <f>AND(#REF!,"AAAAAH3/Yd8=")</f>
        <v>#REF!</v>
      </c>
      <c r="HQ47" t="e">
        <f>AND(#REF!,"AAAAAH3/YeA=")</f>
        <v>#REF!</v>
      </c>
      <c r="HR47" t="e">
        <f>AND(#REF!,"AAAAAH3/YeE=")</f>
        <v>#REF!</v>
      </c>
      <c r="HS47" t="e">
        <f>AND(#REF!,"AAAAAH3/YeI=")</f>
        <v>#REF!</v>
      </c>
      <c r="HT47" t="e">
        <f>AND(#REF!,"AAAAAH3/YeM=")</f>
        <v>#REF!</v>
      </c>
      <c r="HU47" t="e">
        <f>AND(#REF!,"AAAAAH3/YeQ=")</f>
        <v>#REF!</v>
      </c>
      <c r="HV47" t="e">
        <f>AND(#REF!,"AAAAAH3/YeU=")</f>
        <v>#REF!</v>
      </c>
      <c r="HW47" t="e">
        <f>AND(#REF!,"AAAAAH3/YeY=")</f>
        <v>#REF!</v>
      </c>
      <c r="HX47" t="e">
        <f>AND(#REF!,"AAAAAH3/Yec=")</f>
        <v>#REF!</v>
      </c>
      <c r="HY47" t="e">
        <f>IF(#REF!,"AAAAAH3/Yeg=",0)</f>
        <v>#REF!</v>
      </c>
      <c r="HZ47" t="e">
        <f>AND(#REF!,"AAAAAH3/Yek=")</f>
        <v>#REF!</v>
      </c>
      <c r="IA47" t="e">
        <f>AND(#REF!,"AAAAAH3/Yeo=")</f>
        <v>#REF!</v>
      </c>
      <c r="IB47" t="e">
        <f>AND(#REF!,"AAAAAH3/Yes=")</f>
        <v>#REF!</v>
      </c>
      <c r="IC47" t="e">
        <f>AND(#REF!,"AAAAAH3/Yew=")</f>
        <v>#REF!</v>
      </c>
      <c r="ID47" t="e">
        <f>AND(#REF!,"AAAAAH3/Ye0=")</f>
        <v>#REF!</v>
      </c>
      <c r="IE47" t="e">
        <f>AND(#REF!,"AAAAAH3/Ye4=")</f>
        <v>#REF!</v>
      </c>
      <c r="IF47" t="e">
        <f>AND(#REF!,"AAAAAH3/Ye8=")</f>
        <v>#REF!</v>
      </c>
      <c r="IG47" t="e">
        <f>AND(#REF!,"AAAAAH3/YfA=")</f>
        <v>#REF!</v>
      </c>
      <c r="IH47" t="e">
        <f>AND(#REF!,"AAAAAH3/YfE=")</f>
        <v>#REF!</v>
      </c>
      <c r="II47" t="e">
        <f>AND(#REF!,"AAAAAH3/YfI=")</f>
        <v>#REF!</v>
      </c>
      <c r="IJ47" t="e">
        <f>AND(#REF!,"AAAAAH3/YfM=")</f>
        <v>#REF!</v>
      </c>
      <c r="IK47" t="e">
        <f>AND(#REF!,"AAAAAH3/YfQ=")</f>
        <v>#REF!</v>
      </c>
      <c r="IL47" t="e">
        <f>AND(#REF!,"AAAAAH3/YfU=")</f>
        <v>#REF!</v>
      </c>
      <c r="IM47" t="e">
        <f>AND(#REF!,"AAAAAH3/YfY=")</f>
        <v>#REF!</v>
      </c>
      <c r="IN47" t="e">
        <f>IF(#REF!,"AAAAAH3/Yfc=",0)</f>
        <v>#REF!</v>
      </c>
      <c r="IO47" t="e">
        <f>AND(#REF!,"AAAAAH3/Yfg=")</f>
        <v>#REF!</v>
      </c>
      <c r="IP47" t="e">
        <f>AND(#REF!,"AAAAAH3/Yfk=")</f>
        <v>#REF!</v>
      </c>
      <c r="IQ47" t="e">
        <f>AND(#REF!,"AAAAAH3/Yfo=")</f>
        <v>#REF!</v>
      </c>
      <c r="IR47" t="e">
        <f>AND(#REF!,"AAAAAH3/Yfs=")</f>
        <v>#REF!</v>
      </c>
      <c r="IS47" t="e">
        <f>AND(#REF!,"AAAAAH3/Yfw=")</f>
        <v>#REF!</v>
      </c>
      <c r="IT47" t="e">
        <f>AND(#REF!,"AAAAAH3/Yf0=")</f>
        <v>#REF!</v>
      </c>
      <c r="IU47" t="e">
        <f>AND(#REF!,"AAAAAH3/Yf4=")</f>
        <v>#REF!</v>
      </c>
      <c r="IV47" t="e">
        <f>AND(#REF!,"AAAAAH3/Yf8=")</f>
        <v>#REF!</v>
      </c>
    </row>
    <row r="48" spans="1:256">
      <c r="A48" t="e">
        <f>AND(#REF!,"AAAAAE7/FQA=")</f>
        <v>#REF!</v>
      </c>
      <c r="B48" t="e">
        <f>AND(#REF!,"AAAAAE7/FQE=")</f>
        <v>#REF!</v>
      </c>
      <c r="C48" t="e">
        <f>AND(#REF!,"AAAAAE7/FQI=")</f>
        <v>#REF!</v>
      </c>
      <c r="D48" t="e">
        <f>AND(#REF!,"AAAAAE7/FQM=")</f>
        <v>#REF!</v>
      </c>
      <c r="E48" t="e">
        <f>AND(#REF!,"AAAAAE7/FQQ=")</f>
        <v>#REF!</v>
      </c>
      <c r="F48" t="e">
        <f>AND(#REF!,"AAAAAE7/FQU=")</f>
        <v>#REF!</v>
      </c>
      <c r="G48" t="e">
        <f>IF(#REF!,"AAAAAE7/FQY=",0)</f>
        <v>#REF!</v>
      </c>
      <c r="H48" t="e">
        <f>AND(#REF!,"AAAAAE7/FQc=")</f>
        <v>#REF!</v>
      </c>
      <c r="I48" t="e">
        <f>AND(#REF!,"AAAAAE7/FQg=")</f>
        <v>#REF!</v>
      </c>
      <c r="J48" t="e">
        <f>AND(#REF!,"AAAAAE7/FQk=")</f>
        <v>#REF!</v>
      </c>
      <c r="K48" t="e">
        <f>AND(#REF!,"AAAAAE7/FQo=")</f>
        <v>#REF!</v>
      </c>
      <c r="L48" t="e">
        <f>AND(#REF!,"AAAAAE7/FQs=")</f>
        <v>#REF!</v>
      </c>
      <c r="M48" t="e">
        <f>AND(#REF!,"AAAAAE7/FQw=")</f>
        <v>#REF!</v>
      </c>
      <c r="N48" t="e">
        <f>AND(#REF!,"AAAAAE7/FQ0=")</f>
        <v>#REF!</v>
      </c>
      <c r="O48" t="e">
        <f>AND(#REF!,"AAAAAE7/FQ4=")</f>
        <v>#REF!</v>
      </c>
      <c r="P48" t="e">
        <f>AND(#REF!,"AAAAAE7/FQ8=")</f>
        <v>#REF!</v>
      </c>
      <c r="Q48" t="e">
        <f>AND(#REF!,"AAAAAE7/FRA=")</f>
        <v>#REF!</v>
      </c>
      <c r="R48" t="e">
        <f>AND(#REF!,"AAAAAE7/FRE=")</f>
        <v>#REF!</v>
      </c>
      <c r="S48" t="e">
        <f>AND(#REF!,"AAAAAE7/FRI=")</f>
        <v>#REF!</v>
      </c>
      <c r="T48" t="e">
        <f>AND(#REF!,"AAAAAE7/FRM=")</f>
        <v>#REF!</v>
      </c>
      <c r="U48" t="e">
        <f>AND(#REF!,"AAAAAE7/FRQ=")</f>
        <v>#REF!</v>
      </c>
      <c r="V48" t="e">
        <f>IF(#REF!,"AAAAAE7/FRU=",0)</f>
        <v>#REF!</v>
      </c>
      <c r="W48" t="e">
        <f>AND(#REF!,"AAAAAE7/FRY=")</f>
        <v>#REF!</v>
      </c>
      <c r="X48" t="e">
        <f>AND(#REF!,"AAAAAE7/FRc=")</f>
        <v>#REF!</v>
      </c>
      <c r="Y48" t="e">
        <f>AND(#REF!,"AAAAAE7/FRg=")</f>
        <v>#REF!</v>
      </c>
      <c r="Z48" t="e">
        <f>AND(#REF!,"AAAAAE7/FRk=")</f>
        <v>#REF!</v>
      </c>
      <c r="AA48" t="e">
        <f>AND(#REF!,"AAAAAE7/FRo=")</f>
        <v>#REF!</v>
      </c>
      <c r="AB48" t="e">
        <f>AND(#REF!,"AAAAAE7/FRs=")</f>
        <v>#REF!</v>
      </c>
      <c r="AC48" t="e">
        <f>AND(#REF!,"AAAAAE7/FRw=")</f>
        <v>#REF!</v>
      </c>
      <c r="AD48" t="e">
        <f>AND(#REF!,"AAAAAE7/FR0=")</f>
        <v>#REF!</v>
      </c>
      <c r="AE48" t="e">
        <f>AND(#REF!,"AAAAAE7/FR4=")</f>
        <v>#REF!</v>
      </c>
      <c r="AF48" t="e">
        <f>AND(#REF!,"AAAAAE7/FR8=")</f>
        <v>#REF!</v>
      </c>
      <c r="AG48" t="e">
        <f>AND(#REF!,"AAAAAE7/FSA=")</f>
        <v>#REF!</v>
      </c>
      <c r="AH48" t="e">
        <f>AND(#REF!,"AAAAAE7/FSE=")</f>
        <v>#REF!</v>
      </c>
      <c r="AI48" t="e">
        <f>AND(#REF!,"AAAAAE7/FSI=")</f>
        <v>#REF!</v>
      </c>
      <c r="AJ48" t="e">
        <f>AND(#REF!,"AAAAAE7/FSM=")</f>
        <v>#REF!</v>
      </c>
      <c r="AK48" t="e">
        <f>IF(#REF!,"AAAAAE7/FSQ=",0)</f>
        <v>#REF!</v>
      </c>
      <c r="AL48" t="e">
        <f>AND(#REF!,"AAAAAE7/FSU=")</f>
        <v>#REF!</v>
      </c>
      <c r="AM48" t="e">
        <f>AND(#REF!,"AAAAAE7/FSY=")</f>
        <v>#REF!</v>
      </c>
      <c r="AN48" t="e">
        <f>AND(#REF!,"AAAAAE7/FSc=")</f>
        <v>#REF!</v>
      </c>
      <c r="AO48" t="e">
        <f>AND(#REF!,"AAAAAE7/FSg=")</f>
        <v>#REF!</v>
      </c>
      <c r="AP48" t="e">
        <f>AND(#REF!,"AAAAAE7/FSk=")</f>
        <v>#REF!</v>
      </c>
      <c r="AQ48" t="e">
        <f>AND(#REF!,"AAAAAE7/FSo=")</f>
        <v>#REF!</v>
      </c>
      <c r="AR48" t="e">
        <f>AND(#REF!,"AAAAAE7/FSs=")</f>
        <v>#REF!</v>
      </c>
      <c r="AS48" t="e">
        <f>AND(#REF!,"AAAAAE7/FSw=")</f>
        <v>#REF!</v>
      </c>
      <c r="AT48" t="e">
        <f>AND(#REF!,"AAAAAE7/FS0=")</f>
        <v>#REF!</v>
      </c>
      <c r="AU48" t="e">
        <f>AND(#REF!,"AAAAAE7/FS4=")</f>
        <v>#REF!</v>
      </c>
      <c r="AV48" t="e">
        <f>AND(#REF!,"AAAAAE7/FS8=")</f>
        <v>#REF!</v>
      </c>
      <c r="AW48" t="e">
        <f>AND(#REF!,"AAAAAE7/FTA=")</f>
        <v>#REF!</v>
      </c>
      <c r="AX48" t="e">
        <f>AND(#REF!,"AAAAAE7/FTE=")</f>
        <v>#REF!</v>
      </c>
      <c r="AY48" t="e">
        <f>AND(#REF!,"AAAAAE7/FTI=")</f>
        <v>#REF!</v>
      </c>
      <c r="AZ48" t="e">
        <f>IF(#REF!,"AAAAAE7/FTM=",0)</f>
        <v>#REF!</v>
      </c>
      <c r="BA48" t="e">
        <f>AND(#REF!,"AAAAAE7/FTQ=")</f>
        <v>#REF!</v>
      </c>
      <c r="BB48" t="e">
        <f>AND(#REF!,"AAAAAE7/FTU=")</f>
        <v>#REF!</v>
      </c>
      <c r="BC48" t="e">
        <f>AND(#REF!,"AAAAAE7/FTY=")</f>
        <v>#REF!</v>
      </c>
      <c r="BD48" t="e">
        <f>AND(#REF!,"AAAAAE7/FTc=")</f>
        <v>#REF!</v>
      </c>
      <c r="BE48" t="e">
        <f>AND(#REF!,"AAAAAE7/FTg=")</f>
        <v>#REF!</v>
      </c>
      <c r="BF48" t="e">
        <f>AND(#REF!,"AAAAAE7/FTk=")</f>
        <v>#REF!</v>
      </c>
      <c r="BG48" t="e">
        <f>AND(#REF!,"AAAAAE7/FTo=")</f>
        <v>#REF!</v>
      </c>
      <c r="BH48" t="e">
        <f>AND(#REF!,"AAAAAE7/FTs=")</f>
        <v>#REF!</v>
      </c>
      <c r="BI48" t="e">
        <f>AND(#REF!,"AAAAAE7/FTw=")</f>
        <v>#REF!</v>
      </c>
      <c r="BJ48" t="e">
        <f>AND(#REF!,"AAAAAE7/FT0=")</f>
        <v>#REF!</v>
      </c>
      <c r="BK48" t="e">
        <f>AND(#REF!,"AAAAAE7/FT4=")</f>
        <v>#REF!</v>
      </c>
      <c r="BL48" t="e">
        <f>AND(#REF!,"AAAAAE7/FT8=")</f>
        <v>#REF!</v>
      </c>
      <c r="BM48" t="e">
        <f>AND(#REF!,"AAAAAE7/FUA=")</f>
        <v>#REF!</v>
      </c>
      <c r="BN48" t="e">
        <f>AND(#REF!,"AAAAAE7/FUE=")</f>
        <v>#REF!</v>
      </c>
      <c r="BO48" t="e">
        <f>IF(#REF!,"AAAAAE7/FUI=",0)</f>
        <v>#REF!</v>
      </c>
      <c r="BP48" t="e">
        <f>AND(#REF!,"AAAAAE7/FUM=")</f>
        <v>#REF!</v>
      </c>
      <c r="BQ48" t="e">
        <f>AND(#REF!,"AAAAAE7/FUQ=")</f>
        <v>#REF!</v>
      </c>
      <c r="BR48" t="e">
        <f>AND(#REF!,"AAAAAE7/FUU=")</f>
        <v>#REF!</v>
      </c>
      <c r="BS48" t="e">
        <f>AND(#REF!,"AAAAAE7/FUY=")</f>
        <v>#REF!</v>
      </c>
      <c r="BT48" t="e">
        <f>AND(#REF!,"AAAAAE7/FUc=")</f>
        <v>#REF!</v>
      </c>
      <c r="BU48" t="e">
        <f>AND(#REF!,"AAAAAE7/FUg=")</f>
        <v>#REF!</v>
      </c>
      <c r="BV48" t="e">
        <f>AND(#REF!,"AAAAAE7/FUk=")</f>
        <v>#REF!</v>
      </c>
      <c r="BW48" t="e">
        <f>AND(#REF!,"AAAAAE7/FUo=")</f>
        <v>#REF!</v>
      </c>
      <c r="BX48" t="e">
        <f>AND(#REF!,"AAAAAE7/FUs=")</f>
        <v>#REF!</v>
      </c>
      <c r="BY48" t="e">
        <f>AND(#REF!,"AAAAAE7/FUw=")</f>
        <v>#REF!</v>
      </c>
      <c r="BZ48" t="e">
        <f>AND(#REF!,"AAAAAE7/FU0=")</f>
        <v>#REF!</v>
      </c>
      <c r="CA48" t="e">
        <f>AND(#REF!,"AAAAAE7/FU4=")</f>
        <v>#REF!</v>
      </c>
      <c r="CB48" t="e">
        <f>AND(#REF!,"AAAAAE7/FU8=")</f>
        <v>#REF!</v>
      </c>
      <c r="CC48" t="e">
        <f>AND(#REF!,"AAAAAE7/FVA=")</f>
        <v>#REF!</v>
      </c>
      <c r="CD48" t="e">
        <f>IF(#REF!,"AAAAAE7/FVE=",0)</f>
        <v>#REF!</v>
      </c>
      <c r="CE48" t="e">
        <f>AND(#REF!,"AAAAAE7/FVI=")</f>
        <v>#REF!</v>
      </c>
      <c r="CF48" t="e">
        <f>AND(#REF!,"AAAAAE7/FVM=")</f>
        <v>#REF!</v>
      </c>
      <c r="CG48" t="e">
        <f>AND(#REF!,"AAAAAE7/FVQ=")</f>
        <v>#REF!</v>
      </c>
      <c r="CH48" t="e">
        <f>AND(#REF!,"AAAAAE7/FVU=")</f>
        <v>#REF!</v>
      </c>
      <c r="CI48" t="e">
        <f>AND(#REF!,"AAAAAE7/FVY=")</f>
        <v>#REF!</v>
      </c>
      <c r="CJ48" t="e">
        <f>AND(#REF!,"AAAAAE7/FVc=")</f>
        <v>#REF!</v>
      </c>
      <c r="CK48" t="e">
        <f>AND(#REF!,"AAAAAE7/FVg=")</f>
        <v>#REF!</v>
      </c>
      <c r="CL48" t="e">
        <f>AND(#REF!,"AAAAAE7/FVk=")</f>
        <v>#REF!</v>
      </c>
      <c r="CM48" t="e">
        <f>AND(#REF!,"AAAAAE7/FVo=")</f>
        <v>#REF!</v>
      </c>
      <c r="CN48" t="e">
        <f>AND(#REF!,"AAAAAE7/FVs=")</f>
        <v>#REF!</v>
      </c>
      <c r="CO48" t="e">
        <f>AND(#REF!,"AAAAAE7/FVw=")</f>
        <v>#REF!</v>
      </c>
      <c r="CP48" t="e">
        <f>AND(#REF!,"AAAAAE7/FV0=")</f>
        <v>#REF!</v>
      </c>
      <c r="CQ48" t="e">
        <f>AND(#REF!,"AAAAAE7/FV4=")</f>
        <v>#REF!</v>
      </c>
      <c r="CR48" t="e">
        <f>AND(#REF!,"AAAAAE7/FV8=")</f>
        <v>#REF!</v>
      </c>
      <c r="CS48" t="e">
        <f>IF(#REF!,"AAAAAE7/FWA=",0)</f>
        <v>#REF!</v>
      </c>
      <c r="CT48" t="e">
        <f>AND(#REF!,"AAAAAE7/FWE=")</f>
        <v>#REF!</v>
      </c>
      <c r="CU48" t="e">
        <f>AND(#REF!,"AAAAAE7/FWI=")</f>
        <v>#REF!</v>
      </c>
      <c r="CV48" t="e">
        <f>AND(#REF!,"AAAAAE7/FWM=")</f>
        <v>#REF!</v>
      </c>
      <c r="CW48" t="e">
        <f>AND(#REF!,"AAAAAE7/FWQ=")</f>
        <v>#REF!</v>
      </c>
      <c r="CX48" t="e">
        <f>AND(#REF!,"AAAAAE7/FWU=")</f>
        <v>#REF!</v>
      </c>
      <c r="CY48" t="e">
        <f>AND(#REF!,"AAAAAE7/FWY=")</f>
        <v>#REF!</v>
      </c>
      <c r="CZ48" t="e">
        <f>AND(#REF!,"AAAAAE7/FWc=")</f>
        <v>#REF!</v>
      </c>
      <c r="DA48" t="e">
        <f>AND(#REF!,"AAAAAE7/FWg=")</f>
        <v>#REF!</v>
      </c>
      <c r="DB48" t="e">
        <f>AND(#REF!,"AAAAAE7/FWk=")</f>
        <v>#REF!</v>
      </c>
      <c r="DC48" t="e">
        <f>AND(#REF!,"AAAAAE7/FWo=")</f>
        <v>#REF!</v>
      </c>
      <c r="DD48" t="e">
        <f>AND(#REF!,"AAAAAE7/FWs=")</f>
        <v>#REF!</v>
      </c>
      <c r="DE48" t="e">
        <f>AND(#REF!,"AAAAAE7/FWw=")</f>
        <v>#REF!</v>
      </c>
      <c r="DF48" t="e">
        <f>AND(#REF!,"AAAAAE7/FW0=")</f>
        <v>#REF!</v>
      </c>
      <c r="DG48" t="e">
        <f>AND(#REF!,"AAAAAE7/FW4=")</f>
        <v>#REF!</v>
      </c>
      <c r="DH48" t="e">
        <f>IF(#REF!,"AAAAAE7/FW8=",0)</f>
        <v>#REF!</v>
      </c>
      <c r="DI48" t="e">
        <f>AND(#REF!,"AAAAAE7/FXA=")</f>
        <v>#REF!</v>
      </c>
      <c r="DJ48" t="e">
        <f>AND(#REF!,"AAAAAE7/FXE=")</f>
        <v>#REF!</v>
      </c>
      <c r="DK48" t="e">
        <f>AND(#REF!,"AAAAAE7/FXI=")</f>
        <v>#REF!</v>
      </c>
      <c r="DL48" t="e">
        <f>AND(#REF!,"AAAAAE7/FXM=")</f>
        <v>#REF!</v>
      </c>
      <c r="DM48" t="e">
        <f>AND(#REF!,"AAAAAE7/FXQ=")</f>
        <v>#REF!</v>
      </c>
      <c r="DN48" t="e">
        <f>AND(#REF!,"AAAAAE7/FXU=")</f>
        <v>#REF!</v>
      </c>
      <c r="DO48" t="e">
        <f>AND(#REF!,"AAAAAE7/FXY=")</f>
        <v>#REF!</v>
      </c>
      <c r="DP48" t="e">
        <f>AND(#REF!,"AAAAAE7/FXc=")</f>
        <v>#REF!</v>
      </c>
      <c r="DQ48" t="e">
        <f>AND(#REF!,"AAAAAE7/FXg=")</f>
        <v>#REF!</v>
      </c>
      <c r="DR48" t="e">
        <f>AND(#REF!,"AAAAAE7/FXk=")</f>
        <v>#REF!</v>
      </c>
      <c r="DS48" t="e">
        <f>AND(#REF!,"AAAAAE7/FXo=")</f>
        <v>#REF!</v>
      </c>
      <c r="DT48" t="e">
        <f>AND(#REF!,"AAAAAE7/FXs=")</f>
        <v>#REF!</v>
      </c>
      <c r="DU48" t="e">
        <f>AND(#REF!,"AAAAAE7/FXw=")</f>
        <v>#REF!</v>
      </c>
      <c r="DV48" t="e">
        <f>AND(#REF!,"AAAAAE7/FX0=")</f>
        <v>#REF!</v>
      </c>
      <c r="DW48" t="e">
        <f>IF(#REF!,"AAAAAE7/FX4=",0)</f>
        <v>#REF!</v>
      </c>
      <c r="DX48" t="e">
        <f>AND(#REF!,"AAAAAE7/FX8=")</f>
        <v>#REF!</v>
      </c>
      <c r="DY48" t="e">
        <f>AND(#REF!,"AAAAAE7/FYA=")</f>
        <v>#REF!</v>
      </c>
      <c r="DZ48" t="e">
        <f>AND(#REF!,"AAAAAE7/FYE=")</f>
        <v>#REF!</v>
      </c>
      <c r="EA48" t="e">
        <f>AND(#REF!,"AAAAAE7/FYI=")</f>
        <v>#REF!</v>
      </c>
      <c r="EB48" t="e">
        <f>AND(#REF!,"AAAAAE7/FYM=")</f>
        <v>#REF!</v>
      </c>
      <c r="EC48" t="e">
        <f>AND(#REF!,"AAAAAE7/FYQ=")</f>
        <v>#REF!</v>
      </c>
      <c r="ED48" t="e">
        <f>AND(#REF!,"AAAAAE7/FYU=")</f>
        <v>#REF!</v>
      </c>
      <c r="EE48" t="e">
        <f>AND(#REF!,"AAAAAE7/FYY=")</f>
        <v>#REF!</v>
      </c>
      <c r="EF48" t="e">
        <f>AND(#REF!,"AAAAAE7/FYc=")</f>
        <v>#REF!</v>
      </c>
      <c r="EG48" t="e">
        <f>AND(#REF!,"AAAAAE7/FYg=")</f>
        <v>#REF!</v>
      </c>
      <c r="EH48" t="e">
        <f>AND(#REF!,"AAAAAE7/FYk=")</f>
        <v>#REF!</v>
      </c>
      <c r="EI48" t="e">
        <f>AND(#REF!,"AAAAAE7/FYo=")</f>
        <v>#REF!</v>
      </c>
      <c r="EJ48" t="e">
        <f>AND(#REF!,"AAAAAE7/FYs=")</f>
        <v>#REF!</v>
      </c>
      <c r="EK48" t="e">
        <f>AND(#REF!,"AAAAAE7/FYw=")</f>
        <v>#REF!</v>
      </c>
      <c r="EL48" t="e">
        <f>IF(#REF!,"AAAAAE7/FY0=",0)</f>
        <v>#REF!</v>
      </c>
      <c r="EM48" t="e">
        <f>AND(#REF!,"AAAAAE7/FY4=")</f>
        <v>#REF!</v>
      </c>
      <c r="EN48" t="e">
        <f>AND(#REF!,"AAAAAE7/FY8=")</f>
        <v>#REF!</v>
      </c>
      <c r="EO48" t="e">
        <f>AND(#REF!,"AAAAAE7/FZA=")</f>
        <v>#REF!</v>
      </c>
      <c r="EP48" t="e">
        <f>AND(#REF!,"AAAAAE7/FZE=")</f>
        <v>#REF!</v>
      </c>
      <c r="EQ48" t="e">
        <f>AND(#REF!,"AAAAAE7/FZI=")</f>
        <v>#REF!</v>
      </c>
      <c r="ER48" t="e">
        <f>AND(#REF!,"AAAAAE7/FZM=")</f>
        <v>#REF!</v>
      </c>
      <c r="ES48" t="e">
        <f>AND(#REF!,"AAAAAE7/FZQ=")</f>
        <v>#REF!</v>
      </c>
      <c r="ET48" t="e">
        <f>AND(#REF!,"AAAAAE7/FZU=")</f>
        <v>#REF!</v>
      </c>
      <c r="EU48" t="e">
        <f>AND(#REF!,"AAAAAE7/FZY=")</f>
        <v>#REF!</v>
      </c>
      <c r="EV48" t="e">
        <f>AND(#REF!,"AAAAAE7/FZc=")</f>
        <v>#REF!</v>
      </c>
      <c r="EW48" t="e">
        <f>AND(#REF!,"AAAAAE7/FZg=")</f>
        <v>#REF!</v>
      </c>
      <c r="EX48" t="e">
        <f>AND(#REF!,"AAAAAE7/FZk=")</f>
        <v>#REF!</v>
      </c>
      <c r="EY48" t="e">
        <f>AND(#REF!,"AAAAAE7/FZo=")</f>
        <v>#REF!</v>
      </c>
      <c r="EZ48" t="e">
        <f>AND(#REF!,"AAAAAE7/FZs=")</f>
        <v>#REF!</v>
      </c>
      <c r="FA48" t="e">
        <f>IF(#REF!,"AAAAAE7/FZw=",0)</f>
        <v>#REF!</v>
      </c>
      <c r="FB48" t="e">
        <f>AND(#REF!,"AAAAAE7/FZ0=")</f>
        <v>#REF!</v>
      </c>
      <c r="FC48" t="e">
        <f>AND(#REF!,"AAAAAE7/FZ4=")</f>
        <v>#REF!</v>
      </c>
      <c r="FD48" t="e">
        <f>AND(#REF!,"AAAAAE7/FZ8=")</f>
        <v>#REF!</v>
      </c>
      <c r="FE48" t="e">
        <f>AND(#REF!,"AAAAAE7/FaA=")</f>
        <v>#REF!</v>
      </c>
      <c r="FF48" t="e">
        <f>AND(#REF!,"AAAAAE7/FaE=")</f>
        <v>#REF!</v>
      </c>
      <c r="FG48" t="e">
        <f>AND(#REF!,"AAAAAE7/FaI=")</f>
        <v>#REF!</v>
      </c>
      <c r="FH48" t="e">
        <f>AND(#REF!,"AAAAAE7/FaM=")</f>
        <v>#REF!</v>
      </c>
      <c r="FI48" t="e">
        <f>AND(#REF!,"AAAAAE7/FaQ=")</f>
        <v>#REF!</v>
      </c>
      <c r="FJ48" t="e">
        <f>AND(#REF!,"AAAAAE7/FaU=")</f>
        <v>#REF!</v>
      </c>
      <c r="FK48" t="e">
        <f>AND(#REF!,"AAAAAE7/FaY=")</f>
        <v>#REF!</v>
      </c>
      <c r="FL48" t="e">
        <f>AND(#REF!,"AAAAAE7/Fac=")</f>
        <v>#REF!</v>
      </c>
      <c r="FM48" t="e">
        <f>AND(#REF!,"AAAAAE7/Fag=")</f>
        <v>#REF!</v>
      </c>
      <c r="FN48" t="e">
        <f>AND(#REF!,"AAAAAE7/Fak=")</f>
        <v>#REF!</v>
      </c>
      <c r="FO48" t="e">
        <f>AND(#REF!,"AAAAAE7/Fao=")</f>
        <v>#REF!</v>
      </c>
      <c r="FP48" t="e">
        <f>IF(#REF!,"AAAAAE7/Fas=",0)</f>
        <v>#REF!</v>
      </c>
      <c r="FQ48" t="e">
        <f>AND(#REF!,"AAAAAE7/Faw=")</f>
        <v>#REF!</v>
      </c>
      <c r="FR48" t="e">
        <f>AND(#REF!,"AAAAAE7/Fa0=")</f>
        <v>#REF!</v>
      </c>
      <c r="FS48" t="e">
        <f>AND(#REF!,"AAAAAE7/Fa4=")</f>
        <v>#REF!</v>
      </c>
      <c r="FT48" t="e">
        <f>AND(#REF!,"AAAAAE7/Fa8=")</f>
        <v>#REF!</v>
      </c>
      <c r="FU48" t="e">
        <f>AND(#REF!,"AAAAAE7/FbA=")</f>
        <v>#REF!</v>
      </c>
      <c r="FV48" t="e">
        <f>AND(#REF!,"AAAAAE7/FbE=")</f>
        <v>#REF!</v>
      </c>
      <c r="FW48" t="e">
        <f>AND(#REF!,"AAAAAE7/FbI=")</f>
        <v>#REF!</v>
      </c>
      <c r="FX48" t="e">
        <f>AND(#REF!,"AAAAAE7/FbM=")</f>
        <v>#REF!</v>
      </c>
      <c r="FY48" t="e">
        <f>AND(#REF!,"AAAAAE7/FbQ=")</f>
        <v>#REF!</v>
      </c>
      <c r="FZ48" t="e">
        <f>AND(#REF!,"AAAAAE7/FbU=")</f>
        <v>#REF!</v>
      </c>
      <c r="GA48" t="e">
        <f>AND(#REF!,"AAAAAE7/FbY=")</f>
        <v>#REF!</v>
      </c>
      <c r="GB48" t="e">
        <f>AND(#REF!,"AAAAAE7/Fbc=")</f>
        <v>#REF!</v>
      </c>
      <c r="GC48" t="e">
        <f>AND(#REF!,"AAAAAE7/Fbg=")</f>
        <v>#REF!</v>
      </c>
      <c r="GD48" t="e">
        <f>AND(#REF!,"AAAAAE7/Fbk=")</f>
        <v>#REF!</v>
      </c>
      <c r="GE48" t="e">
        <f>IF(#REF!,"AAAAAE7/Fbo=",0)</f>
        <v>#REF!</v>
      </c>
      <c r="GF48" t="e">
        <f>AND(#REF!,"AAAAAE7/Fbs=")</f>
        <v>#REF!</v>
      </c>
      <c r="GG48" t="e">
        <f>AND(#REF!,"AAAAAE7/Fbw=")</f>
        <v>#REF!</v>
      </c>
      <c r="GH48" t="e">
        <f>AND(#REF!,"AAAAAE7/Fb0=")</f>
        <v>#REF!</v>
      </c>
      <c r="GI48" t="e">
        <f>AND(#REF!,"AAAAAE7/Fb4=")</f>
        <v>#REF!</v>
      </c>
      <c r="GJ48" t="e">
        <f>AND(#REF!,"AAAAAE7/Fb8=")</f>
        <v>#REF!</v>
      </c>
      <c r="GK48" t="e">
        <f>AND(#REF!,"AAAAAE7/FcA=")</f>
        <v>#REF!</v>
      </c>
      <c r="GL48" t="e">
        <f>AND(#REF!,"AAAAAE7/FcE=")</f>
        <v>#REF!</v>
      </c>
      <c r="GM48" t="e">
        <f>AND(#REF!,"AAAAAE7/FcI=")</f>
        <v>#REF!</v>
      </c>
      <c r="GN48" t="e">
        <f>AND(#REF!,"AAAAAE7/FcM=")</f>
        <v>#REF!</v>
      </c>
      <c r="GO48" t="e">
        <f>AND(#REF!,"AAAAAE7/FcQ=")</f>
        <v>#REF!</v>
      </c>
      <c r="GP48" t="e">
        <f>AND(#REF!,"AAAAAE7/FcU=")</f>
        <v>#REF!</v>
      </c>
      <c r="GQ48" t="e">
        <f>AND(#REF!,"AAAAAE7/FcY=")</f>
        <v>#REF!</v>
      </c>
      <c r="GR48" t="e">
        <f>AND(#REF!,"AAAAAE7/Fcc=")</f>
        <v>#REF!</v>
      </c>
      <c r="GS48" t="e">
        <f>AND(#REF!,"AAAAAE7/Fcg=")</f>
        <v>#REF!</v>
      </c>
      <c r="GT48" t="e">
        <f>IF(#REF!,"AAAAAE7/Fck=",0)</f>
        <v>#REF!</v>
      </c>
      <c r="GU48" t="e">
        <f>AND(#REF!,"AAAAAE7/Fco=")</f>
        <v>#REF!</v>
      </c>
      <c r="GV48" t="e">
        <f>AND(#REF!,"AAAAAE7/Fcs=")</f>
        <v>#REF!</v>
      </c>
      <c r="GW48" t="e">
        <f>AND(#REF!,"AAAAAE7/Fcw=")</f>
        <v>#REF!</v>
      </c>
      <c r="GX48" t="e">
        <f>AND(#REF!,"AAAAAE7/Fc0=")</f>
        <v>#REF!</v>
      </c>
      <c r="GY48" t="e">
        <f>AND(#REF!,"AAAAAE7/Fc4=")</f>
        <v>#REF!</v>
      </c>
      <c r="GZ48" t="e">
        <f>AND(#REF!,"AAAAAE7/Fc8=")</f>
        <v>#REF!</v>
      </c>
      <c r="HA48" t="e">
        <f>AND(#REF!,"AAAAAE7/FdA=")</f>
        <v>#REF!</v>
      </c>
      <c r="HB48" t="e">
        <f>AND(#REF!,"AAAAAE7/FdE=")</f>
        <v>#REF!</v>
      </c>
      <c r="HC48" t="e">
        <f>AND(#REF!,"AAAAAE7/FdI=")</f>
        <v>#REF!</v>
      </c>
      <c r="HD48" t="e">
        <f>AND(#REF!,"AAAAAE7/FdM=")</f>
        <v>#REF!</v>
      </c>
      <c r="HE48" t="e">
        <f>AND(#REF!,"AAAAAE7/FdQ=")</f>
        <v>#REF!</v>
      </c>
      <c r="HF48" t="e">
        <f>AND(#REF!,"AAAAAE7/FdU=")</f>
        <v>#REF!</v>
      </c>
      <c r="HG48" t="e">
        <f>AND(#REF!,"AAAAAE7/FdY=")</f>
        <v>#REF!</v>
      </c>
      <c r="HH48" t="e">
        <f>AND(#REF!,"AAAAAE7/Fdc=")</f>
        <v>#REF!</v>
      </c>
      <c r="HI48" t="e">
        <f>IF(#REF!,"AAAAAE7/Fdg=",0)</f>
        <v>#REF!</v>
      </c>
      <c r="HJ48" t="e">
        <f>AND(#REF!,"AAAAAE7/Fdk=")</f>
        <v>#REF!</v>
      </c>
      <c r="HK48" t="e">
        <f>AND(#REF!,"AAAAAE7/Fdo=")</f>
        <v>#REF!</v>
      </c>
      <c r="HL48" t="e">
        <f>AND(#REF!,"AAAAAE7/Fds=")</f>
        <v>#REF!</v>
      </c>
      <c r="HM48" t="e">
        <f>AND(#REF!,"AAAAAE7/Fdw=")</f>
        <v>#REF!</v>
      </c>
      <c r="HN48" t="e">
        <f>AND(#REF!,"AAAAAE7/Fd0=")</f>
        <v>#REF!</v>
      </c>
      <c r="HO48" t="e">
        <f>AND(#REF!,"AAAAAE7/Fd4=")</f>
        <v>#REF!</v>
      </c>
      <c r="HP48" t="e">
        <f>AND(#REF!,"AAAAAE7/Fd8=")</f>
        <v>#REF!</v>
      </c>
      <c r="HQ48" t="e">
        <f>AND(#REF!,"AAAAAE7/FeA=")</f>
        <v>#REF!</v>
      </c>
      <c r="HR48" t="e">
        <f>AND(#REF!,"AAAAAE7/FeE=")</f>
        <v>#REF!</v>
      </c>
      <c r="HS48" t="e">
        <f>AND(#REF!,"AAAAAE7/FeI=")</f>
        <v>#REF!</v>
      </c>
      <c r="HT48" t="e">
        <f>AND(#REF!,"AAAAAE7/FeM=")</f>
        <v>#REF!</v>
      </c>
      <c r="HU48" t="e">
        <f>AND(#REF!,"AAAAAE7/FeQ=")</f>
        <v>#REF!</v>
      </c>
      <c r="HV48" t="e">
        <f>AND(#REF!,"AAAAAE7/FeU=")</f>
        <v>#REF!</v>
      </c>
      <c r="HW48" t="e">
        <f>AND(#REF!,"AAAAAE7/FeY=")</f>
        <v>#REF!</v>
      </c>
      <c r="HX48" t="e">
        <f>IF(#REF!,"AAAAAE7/Fec=",0)</f>
        <v>#REF!</v>
      </c>
      <c r="HY48" t="e">
        <f>IF(#REF!,"AAAAAE7/Feg=",0)</f>
        <v>#REF!</v>
      </c>
      <c r="HZ48" t="e">
        <f>IF(#REF!,"AAAAAE7/Fek=",0)</f>
        <v>#REF!</v>
      </c>
      <c r="IA48" t="e">
        <f>IF(#REF!,"AAAAAE7/Feo=",0)</f>
        <v>#REF!</v>
      </c>
      <c r="IB48" t="e">
        <f>IF(#REF!,"AAAAAE7/Fes=",0)</f>
        <v>#REF!</v>
      </c>
      <c r="IC48" t="e">
        <f>IF(#REF!,"AAAAAE7/Few=",0)</f>
        <v>#REF!</v>
      </c>
      <c r="ID48" t="e">
        <f>IF(#REF!,"AAAAAE7/Fe0=",0)</f>
        <v>#REF!</v>
      </c>
      <c r="IE48" t="e">
        <f>IF(#REF!,"AAAAAE7/Fe4=",0)</f>
        <v>#REF!</v>
      </c>
      <c r="IF48" t="e">
        <f>IF(#REF!,"AAAAAE7/Fe8=",0)</f>
        <v>#REF!</v>
      </c>
      <c r="IG48" t="e">
        <f>IF(#REF!,"AAAAAE7/FfA=",0)</f>
        <v>#REF!</v>
      </c>
      <c r="IH48" t="e">
        <f>IF(#REF!,"AAAAAE7/FfE=",0)</f>
        <v>#REF!</v>
      </c>
      <c r="II48" t="e">
        <f>IF(#REF!,"AAAAAE7/FfI=",0)</f>
        <v>#REF!</v>
      </c>
      <c r="IJ48" t="e">
        <f>IF(#REF!,"AAAAAE7/FfM=",0)</f>
        <v>#REF!</v>
      </c>
      <c r="IK48" t="e">
        <f>IF(#REF!,"AAAAAE7/FfQ=",0)</f>
        <v>#REF!</v>
      </c>
      <c r="IL48" t="s">
        <v>39</v>
      </c>
      <c r="IM48" t="e">
        <f>IF("N",[0]!_xlnm.Print_Area,"AAAAAE7/FfY=")</f>
        <v>#VALUE!</v>
      </c>
      <c r="IN48" t="e">
        <f>IF("N",[0]!_xlnm.Print_Area,"AAAAAE7/Ffc=")</f>
        <v>#VALUE!</v>
      </c>
      <c r="IO48" t="e">
        <f>IF("N",[0]!_xlnm.Print_Area,"AAAAAE7/Ffg=")</f>
        <v>#VALUE!</v>
      </c>
      <c r="IP48" t="e">
        <f>IF("N",[0]!_xlnm.Print_Area,"AAAAAE7/Ffk=")</f>
        <v>#VALUE!</v>
      </c>
    </row>
    <row r="49" spans="1:256">
      <c r="A49" t="s">
        <v>40</v>
      </c>
      <c r="B49" t="e">
        <f>IF("N",[0]!_xlnm.Print_Area,"AAAAAHZN9QE=")</f>
        <v>#VALUE!</v>
      </c>
      <c r="C49" t="e">
        <f>IF("N",[0]!_xlnm.Print_Area,"AAAAAHZN9QI=")</f>
        <v>#VALUE!</v>
      </c>
      <c r="D49" t="e">
        <f>IF("N",[0]!_xlnm.Print_Area,"AAAAAHZN9QM=")</f>
        <v>#VALUE!</v>
      </c>
      <c r="E49" t="e">
        <f>IF("N",[0]!_xlnm.Print_Area,"AAAAAHZN9QQ=")</f>
        <v>#VALUE!</v>
      </c>
    </row>
    <row r="50" spans="1:256">
      <c r="A50" t="s">
        <v>41</v>
      </c>
      <c r="B50" t="e">
        <f>IF("N",[0]!_xlnm.Print_Area,"AAAAAHu7/wE=")</f>
        <v>#VALUE!</v>
      </c>
      <c r="C50" t="e">
        <f>IF("N",[0]!_xlnm.Print_Area,"AAAAAHu7/wI=")</f>
        <v>#VALUE!</v>
      </c>
    </row>
    <row r="51" spans="1:256">
      <c r="A51" t="e">
        <f>AND(#REF!,"AAAAACvOfgA=")</f>
        <v>#REF!</v>
      </c>
      <c r="B51" t="e">
        <f>AND(#REF!,"AAAAACvOfgE=")</f>
        <v>#REF!</v>
      </c>
      <c r="C51" t="e">
        <f>AND(#REF!,"AAAAACvOfgI=")</f>
        <v>#REF!</v>
      </c>
      <c r="D51" t="e">
        <f>AND(#REF!,"AAAAACvOfgM=")</f>
        <v>#REF!</v>
      </c>
      <c r="E51" t="e">
        <f>AND(#REF!,"AAAAACvOfgQ=")</f>
        <v>#REF!</v>
      </c>
      <c r="F51" t="e">
        <f>AND(#REF!,"AAAAACvOfgU=")</f>
        <v>#REF!</v>
      </c>
      <c r="G51" t="e">
        <f>AND(#REF!,"AAAAACvOfgY=")</f>
        <v>#REF!</v>
      </c>
      <c r="H51" t="e">
        <f>AND(#REF!,"AAAAACvOfgc=")</f>
        <v>#REF!</v>
      </c>
      <c r="I51" t="e">
        <f>AND(#REF!,"AAAAACvOfgg=")</f>
        <v>#REF!</v>
      </c>
      <c r="J51" t="e">
        <f>AND(#REF!,"AAAAACvOfgk=")</f>
        <v>#REF!</v>
      </c>
      <c r="K51" t="s">
        <v>42</v>
      </c>
      <c r="L51" t="e">
        <f>IF("N",[0]!_xlnm.Print_Area,"AAAAACvOfgs=")</f>
        <v>#VALUE!</v>
      </c>
      <c r="M51" t="e">
        <f>IF("N",[0]!_xlnm.Print_Area,"AAAAACvOfgw=")</f>
        <v>#VALUE!</v>
      </c>
    </row>
    <row r="52" spans="1:256">
      <c r="A52" t="e">
        <f>AND(#REF!,"AAAAAB973QA=")</f>
        <v>#REF!</v>
      </c>
      <c r="B52" t="e">
        <f>AND(#REF!,"AAAAAB973QE=")</f>
        <v>#REF!</v>
      </c>
      <c r="C52" t="e">
        <f>AND(#REF!,"AAAAAB973QI=")</f>
        <v>#REF!</v>
      </c>
      <c r="D52" t="e">
        <f>AND(#REF!,"AAAAAB973QM=")</f>
        <v>#REF!</v>
      </c>
      <c r="E52" t="e">
        <f>AND(#REF!,"AAAAAB973QQ=")</f>
        <v>#REF!</v>
      </c>
      <c r="F52" t="e">
        <f>AND(#REF!,"AAAAAB973QU=")</f>
        <v>#REF!</v>
      </c>
      <c r="G52" t="e">
        <f>AND(#REF!,"AAAAAB973QY=")</f>
        <v>#REF!</v>
      </c>
      <c r="H52" t="e">
        <f>AND(#REF!,"AAAAAB973Qc=")</f>
        <v>#REF!</v>
      </c>
      <c r="I52" t="e">
        <f>AND(#REF!,"AAAAAB973Qg=")</f>
        <v>#REF!</v>
      </c>
      <c r="J52" t="e">
        <f>AND(#REF!,"AAAAAB973Qk=")</f>
        <v>#REF!</v>
      </c>
      <c r="K52" t="e">
        <f>AND(#REF!,"AAAAAB973Qo=")</f>
        <v>#REF!</v>
      </c>
      <c r="L52" t="s">
        <v>43</v>
      </c>
      <c r="M52" t="e">
        <f>IF("N",[0]!_xlnm.Print_Area,"AAAAAB973Qw=")</f>
        <v>#VALUE!</v>
      </c>
      <c r="N52" t="e">
        <f>IF("N",[0]!_xlnm.Print_Area,"AAAAAB973Q0=")</f>
        <v>#VALUE!</v>
      </c>
      <c r="O52" t="e">
        <f>IF("N",_xlnm.Print_Area,"AAAAAB973Q4=")</f>
        <v>#VALUE!</v>
      </c>
    </row>
    <row r="53" spans="1:256">
      <c r="A53" t="e">
        <f>AND(#REF!,"AAAAAA9/fQA=")</f>
        <v>#REF!</v>
      </c>
      <c r="B53" t="e">
        <f>AND(#REF!,"AAAAAA9/fQE=")</f>
        <v>#REF!</v>
      </c>
      <c r="C53" t="e">
        <f>AND(#REF!,"AAAAAA9/fQI=")</f>
        <v>#REF!</v>
      </c>
      <c r="D53" t="e">
        <f>AND(#REF!,"AAAAAA9/fQM=")</f>
        <v>#REF!</v>
      </c>
      <c r="E53" t="e">
        <f>AND(#REF!,"AAAAAA9/fQQ=")</f>
        <v>#REF!</v>
      </c>
      <c r="F53" t="e">
        <f>AND(#REF!,"AAAAAA9/fQU=")</f>
        <v>#REF!</v>
      </c>
      <c r="G53" t="e">
        <f>AND(#REF!,"AAAAAA9/fQY=")</f>
        <v>#REF!</v>
      </c>
      <c r="H53" t="e">
        <f>AND(#REF!,"AAAAAA9/fQc=")</f>
        <v>#REF!</v>
      </c>
      <c r="I53" t="e">
        <f>AND(#REF!,"AAAAAA9/fQg=")</f>
        <v>#REF!</v>
      </c>
      <c r="J53" t="e">
        <f>AND(#REF!,"AAAAAA9/fQk=")</f>
        <v>#REF!</v>
      </c>
      <c r="K53" t="e">
        <f>AND(#REF!,"AAAAAA9/fQo=")</f>
        <v>#REF!</v>
      </c>
      <c r="L53" t="e">
        <f>AND(#REF!,"AAAAAA9/fQs=")</f>
        <v>#REF!</v>
      </c>
      <c r="M53" t="e">
        <f>AND(#REF!,"AAAAAA9/fQw=")</f>
        <v>#REF!</v>
      </c>
      <c r="N53" t="e">
        <f>AND(#REF!,"AAAAAA9/fQ0=")</f>
        <v>#REF!</v>
      </c>
      <c r="O53" t="e">
        <f>AND(#REF!,"AAAAAA9/fQ4=")</f>
        <v>#REF!</v>
      </c>
      <c r="P53" t="e">
        <f>AND(#REF!,"AAAAAA9/fQ8=")</f>
        <v>#REF!</v>
      </c>
      <c r="Q53" t="e">
        <f>AND(#REF!,"AAAAAA9/fRA=")</f>
        <v>#REF!</v>
      </c>
      <c r="R53" t="e">
        <f>AND(#REF!,"AAAAAA9/fRE=")</f>
        <v>#REF!</v>
      </c>
      <c r="S53" t="e">
        <f>AND(#REF!,"AAAAAA9/fRI=")</f>
        <v>#REF!</v>
      </c>
      <c r="T53" t="e">
        <f>AND(#REF!,"AAAAAA9/fRM=")</f>
        <v>#REF!</v>
      </c>
      <c r="U53" t="e">
        <f>AND(#REF!,"AAAAAA9/fRQ=")</f>
        <v>#REF!</v>
      </c>
      <c r="V53" t="e">
        <f>IF(#REF!,"AAAAAA9/fRU=",0)</f>
        <v>#REF!</v>
      </c>
      <c r="W53" t="s">
        <v>44</v>
      </c>
      <c r="X53" t="e">
        <f>IF("N",[0]!_xlnm.Print_Area,"AAAAAA9/fRc=")</f>
        <v>#VALUE!</v>
      </c>
      <c r="Y53" t="e">
        <f>IF("N",[0]!_xlnm.Print_Area,"AAAAAA9/fRg=")</f>
        <v>#VALUE!</v>
      </c>
      <c r="Z53" t="e">
        <f>IF("N",_xlnm.Print_Area,"AAAAAA9/fRk=")</f>
        <v>#VALUE!</v>
      </c>
    </row>
    <row r="54" spans="1:256">
      <c r="A54" t="s">
        <v>45</v>
      </c>
      <c r="B54" t="e">
        <f>IF("N",[0]!_xlnm.Print_Area,"AAAAAGn/hQE=")</f>
        <v>#VALUE!</v>
      </c>
      <c r="C54" t="e">
        <f>IF("N",[0]!_xlnm.Print_Area,"AAAAAGn/hQI=")</f>
        <v>#VALUE!</v>
      </c>
      <c r="D54" t="e">
        <f>IF("N",_xlnm.Print_Area,"AAAAAGn/hQM=")</f>
        <v>#VALUE!</v>
      </c>
    </row>
    <row r="55" spans="1:256">
      <c r="A55" t="s">
        <v>46</v>
      </c>
      <c r="B55" t="e">
        <f>IF("N",[0]!_xlnm.Print_Area,"AAAAAH//BwE=")</f>
        <v>#VALUE!</v>
      </c>
      <c r="C55" t="e">
        <f>IF("N",[0]!_xlnm.Print_Area,"AAAAAH//BwI=")</f>
        <v>#VALUE!</v>
      </c>
      <c r="D55" t="e">
        <f>IF("N",_xlnm.Print_Area,"AAAAAH//BwM=")</f>
        <v>#VALUE!</v>
      </c>
    </row>
    <row r="56" spans="1:256">
      <c r="A56" t="e">
        <f>IF(#REF!,"AAAAABre2wA=",0)</f>
        <v>#REF!</v>
      </c>
      <c r="B56" t="e">
        <f>AND(#REF!,"AAAAABre2wE=")</f>
        <v>#REF!</v>
      </c>
      <c r="C56" t="e">
        <f>AND(#REF!,"AAAAABre2wI=")</f>
        <v>#REF!</v>
      </c>
      <c r="D56" t="e">
        <f>AND(#REF!,"AAAAABre2wM=")</f>
        <v>#REF!</v>
      </c>
      <c r="E56" t="e">
        <f>AND(#REF!,"AAAAABre2wQ=")</f>
        <v>#REF!</v>
      </c>
      <c r="F56" t="e">
        <f>AND(#REF!,"AAAAABre2wU=")</f>
        <v>#REF!</v>
      </c>
      <c r="G56" t="e">
        <f>AND(#REF!,"AAAAABre2wY=")</f>
        <v>#REF!</v>
      </c>
      <c r="H56" t="e">
        <f>AND(#REF!,"AAAAABre2wc=")</f>
        <v>#REF!</v>
      </c>
      <c r="I56" t="e">
        <f>AND(#REF!,"AAAAABre2wg=")</f>
        <v>#REF!</v>
      </c>
      <c r="J56" t="e">
        <f>AND(#REF!,"AAAAABre2wk=")</f>
        <v>#REF!</v>
      </c>
      <c r="K56" t="e">
        <f>AND(#REF!,"AAAAABre2wo=")</f>
        <v>#REF!</v>
      </c>
      <c r="L56" t="e">
        <f>AND(#REF!,"AAAAABre2ws=")</f>
        <v>#REF!</v>
      </c>
      <c r="M56" t="e">
        <f>IF(#REF!,"AAAAABre2ww=",0)</f>
        <v>#REF!</v>
      </c>
      <c r="N56" t="e">
        <f>AND(#REF!,"AAAAABre2w0=")</f>
        <v>#REF!</v>
      </c>
      <c r="O56" t="e">
        <f>AND(#REF!,"AAAAABre2w4=")</f>
        <v>#REF!</v>
      </c>
      <c r="P56" t="e">
        <f>AND(#REF!,"AAAAABre2w8=")</f>
        <v>#REF!</v>
      </c>
      <c r="Q56" t="e">
        <f>AND(#REF!,"AAAAABre2xA=")</f>
        <v>#REF!</v>
      </c>
      <c r="R56" t="e">
        <f>AND(#REF!,"AAAAABre2xE=")</f>
        <v>#REF!</v>
      </c>
      <c r="S56" t="e">
        <f>AND(#REF!,"AAAAABre2xI=")</f>
        <v>#REF!</v>
      </c>
      <c r="T56" t="e">
        <f>AND(#REF!,"AAAAABre2xM=")</f>
        <v>#REF!</v>
      </c>
      <c r="U56" t="e">
        <f>AND(#REF!,"AAAAABre2xQ=")</f>
        <v>#REF!</v>
      </c>
      <c r="V56" t="e">
        <f>AND(#REF!,"AAAAABre2xU=")</f>
        <v>#REF!</v>
      </c>
      <c r="W56" t="e">
        <f>AND(#REF!,"AAAAABre2xY=")</f>
        <v>#REF!</v>
      </c>
      <c r="X56" t="e">
        <f>AND(#REF!,"AAAAABre2xc=")</f>
        <v>#REF!</v>
      </c>
      <c r="Y56" t="e">
        <f>IF(#REF!,"AAAAABre2xg=",0)</f>
        <v>#REF!</v>
      </c>
      <c r="Z56" t="e">
        <f>AND(#REF!,"AAAAABre2xk=")</f>
        <v>#REF!</v>
      </c>
      <c r="AA56" t="e">
        <f>AND(#REF!,"AAAAABre2xo=")</f>
        <v>#REF!</v>
      </c>
      <c r="AB56" t="e">
        <f>AND(#REF!,"AAAAABre2xs=")</f>
        <v>#REF!</v>
      </c>
      <c r="AC56" t="e">
        <f>AND(#REF!,"AAAAABre2xw=")</f>
        <v>#REF!</v>
      </c>
      <c r="AD56" t="e">
        <f>AND(#REF!,"AAAAABre2x0=")</f>
        <v>#REF!</v>
      </c>
      <c r="AE56" t="e">
        <f>AND(#REF!,"AAAAABre2x4=")</f>
        <v>#REF!</v>
      </c>
      <c r="AF56" t="e">
        <f>AND(#REF!,"AAAAABre2x8=")</f>
        <v>#REF!</v>
      </c>
      <c r="AG56" t="e">
        <f>AND(#REF!,"AAAAABre2yA=")</f>
        <v>#REF!</v>
      </c>
      <c r="AH56" t="e">
        <f>AND(#REF!,"AAAAABre2yE=")</f>
        <v>#REF!</v>
      </c>
      <c r="AI56" t="e">
        <f>AND(#REF!,"AAAAABre2yI=")</f>
        <v>#REF!</v>
      </c>
      <c r="AJ56" t="e">
        <f>AND(#REF!,"AAAAABre2yM=")</f>
        <v>#REF!</v>
      </c>
      <c r="AK56" t="e">
        <f>IF(#REF!,"AAAAABre2yQ=",0)</f>
        <v>#REF!</v>
      </c>
      <c r="AL56" t="e">
        <f>AND(#REF!,"AAAAABre2yU=")</f>
        <v>#REF!</v>
      </c>
      <c r="AM56" t="e">
        <f>AND(#REF!,"AAAAABre2yY=")</f>
        <v>#REF!</v>
      </c>
      <c r="AN56" t="e">
        <f>AND(#REF!,"AAAAABre2yc=")</f>
        <v>#REF!</v>
      </c>
      <c r="AO56" t="e">
        <f>AND(#REF!,"AAAAABre2yg=")</f>
        <v>#REF!</v>
      </c>
      <c r="AP56" t="e">
        <f>AND(#REF!,"AAAAABre2yk=")</f>
        <v>#REF!</v>
      </c>
      <c r="AQ56" t="e">
        <f>AND(#REF!,"AAAAABre2yo=")</f>
        <v>#REF!</v>
      </c>
      <c r="AR56" t="e">
        <f>AND(#REF!,"AAAAABre2ys=")</f>
        <v>#REF!</v>
      </c>
      <c r="AS56" t="e">
        <f>AND(#REF!,"AAAAABre2yw=")</f>
        <v>#REF!</v>
      </c>
      <c r="AT56" t="e">
        <f>AND(#REF!,"AAAAABre2y0=")</f>
        <v>#REF!</v>
      </c>
      <c r="AU56" t="e">
        <f>AND(#REF!,"AAAAABre2y4=")</f>
        <v>#REF!</v>
      </c>
      <c r="AV56" t="e">
        <f>AND(#REF!,"AAAAABre2y8=")</f>
        <v>#REF!</v>
      </c>
      <c r="AW56" t="e">
        <f>IF(#REF!,"AAAAABre2zA=",0)</f>
        <v>#REF!</v>
      </c>
      <c r="AX56" t="e">
        <f>AND(#REF!,"AAAAABre2zE=")</f>
        <v>#REF!</v>
      </c>
      <c r="AY56" t="e">
        <f>AND(#REF!,"AAAAABre2zI=")</f>
        <v>#REF!</v>
      </c>
      <c r="AZ56" t="e">
        <f>AND(#REF!,"AAAAABre2zM=")</f>
        <v>#REF!</v>
      </c>
      <c r="BA56" t="e">
        <f>AND(#REF!,"AAAAABre2zQ=")</f>
        <v>#REF!</v>
      </c>
      <c r="BB56" t="e">
        <f>AND(#REF!,"AAAAABre2zU=")</f>
        <v>#REF!</v>
      </c>
      <c r="BC56" t="e">
        <f>AND(#REF!,"AAAAABre2zY=")</f>
        <v>#REF!</v>
      </c>
      <c r="BD56" t="e">
        <f>AND(#REF!,"AAAAABre2zc=")</f>
        <v>#REF!</v>
      </c>
      <c r="BE56" t="e">
        <f>AND(#REF!,"AAAAABre2zg=")</f>
        <v>#REF!</v>
      </c>
      <c r="BF56" t="e">
        <f>AND(#REF!,"AAAAABre2zk=")</f>
        <v>#REF!</v>
      </c>
      <c r="BG56" t="e">
        <f>AND(#REF!,"AAAAABre2zo=")</f>
        <v>#REF!</v>
      </c>
      <c r="BH56" t="e">
        <f>AND(#REF!,"AAAAABre2zs=")</f>
        <v>#REF!</v>
      </c>
      <c r="BI56" t="e">
        <f>IF(#REF!,"AAAAABre2zw=",0)</f>
        <v>#REF!</v>
      </c>
      <c r="BJ56" t="e">
        <f>AND(#REF!,"AAAAABre2z0=")</f>
        <v>#REF!</v>
      </c>
      <c r="BK56" t="e">
        <f>AND(#REF!,"AAAAABre2z4=")</f>
        <v>#REF!</v>
      </c>
      <c r="BL56" t="e">
        <f>AND(#REF!,"AAAAABre2z8=")</f>
        <v>#REF!</v>
      </c>
      <c r="BM56" t="e">
        <f>AND(#REF!,"AAAAABre20A=")</f>
        <v>#REF!</v>
      </c>
      <c r="BN56" t="e">
        <f>AND(#REF!,"AAAAABre20E=")</f>
        <v>#REF!</v>
      </c>
      <c r="BO56" t="e">
        <f>AND(#REF!,"AAAAABre20I=")</f>
        <v>#REF!</v>
      </c>
      <c r="BP56" t="e">
        <f>AND(#REF!,"AAAAABre20M=")</f>
        <v>#REF!</v>
      </c>
      <c r="BQ56" t="e">
        <f>AND(#REF!,"AAAAABre20Q=")</f>
        <v>#REF!</v>
      </c>
      <c r="BR56" t="e">
        <f>AND(#REF!,"AAAAABre20U=")</f>
        <v>#REF!</v>
      </c>
      <c r="BS56" t="e">
        <f>AND(#REF!,"AAAAABre20Y=")</f>
        <v>#REF!</v>
      </c>
      <c r="BT56" t="e">
        <f>AND(#REF!,"AAAAABre20c=")</f>
        <v>#REF!</v>
      </c>
      <c r="BU56" t="e">
        <f>IF(#REF!,"AAAAABre20g=",0)</f>
        <v>#REF!</v>
      </c>
      <c r="BV56" t="e">
        <f>AND(#REF!,"AAAAABre20k=")</f>
        <v>#REF!</v>
      </c>
      <c r="BW56" t="e">
        <f>AND(#REF!,"AAAAABre20o=")</f>
        <v>#REF!</v>
      </c>
      <c r="BX56" t="e">
        <f>AND(#REF!,"AAAAABre20s=")</f>
        <v>#REF!</v>
      </c>
      <c r="BY56" t="e">
        <f>AND(#REF!,"AAAAABre20w=")</f>
        <v>#REF!</v>
      </c>
      <c r="BZ56" t="e">
        <f>AND(#REF!,"AAAAABre200=")</f>
        <v>#REF!</v>
      </c>
      <c r="CA56" t="e">
        <f>AND(#REF!,"AAAAABre204=")</f>
        <v>#REF!</v>
      </c>
      <c r="CB56" t="e">
        <f>AND(#REF!,"AAAAABre208=")</f>
        <v>#REF!</v>
      </c>
      <c r="CC56" t="e">
        <f>AND(#REF!,"AAAAABre21A=")</f>
        <v>#REF!</v>
      </c>
      <c r="CD56" t="e">
        <f>AND(#REF!,"AAAAABre21E=")</f>
        <v>#REF!</v>
      </c>
      <c r="CE56" t="e">
        <f>AND(#REF!,"AAAAABre21I=")</f>
        <v>#REF!</v>
      </c>
      <c r="CF56" t="e">
        <f>AND(#REF!,"AAAAABre21M=")</f>
        <v>#REF!</v>
      </c>
      <c r="CG56" t="e">
        <f>IF(#REF!,"AAAAABre21Q=",0)</f>
        <v>#REF!</v>
      </c>
      <c r="CH56" t="e">
        <f>AND(#REF!,"AAAAABre21U=")</f>
        <v>#REF!</v>
      </c>
      <c r="CI56" t="e">
        <f>AND(#REF!,"AAAAABre21Y=")</f>
        <v>#REF!</v>
      </c>
      <c r="CJ56" t="e">
        <f>AND(#REF!,"AAAAABre21c=")</f>
        <v>#REF!</v>
      </c>
      <c r="CK56" t="e">
        <f>AND(#REF!,"AAAAABre21g=")</f>
        <v>#REF!</v>
      </c>
      <c r="CL56" t="e">
        <f>AND(#REF!,"AAAAABre21k=")</f>
        <v>#REF!</v>
      </c>
      <c r="CM56" t="e">
        <f>AND(#REF!,"AAAAABre21o=")</f>
        <v>#REF!</v>
      </c>
      <c r="CN56" t="e">
        <f>AND(#REF!,"AAAAABre21s=")</f>
        <v>#REF!</v>
      </c>
      <c r="CO56" t="e">
        <f>AND(#REF!,"AAAAABre21w=")</f>
        <v>#REF!</v>
      </c>
      <c r="CP56" t="e">
        <f>AND(#REF!,"AAAAABre210=")</f>
        <v>#REF!</v>
      </c>
      <c r="CQ56" t="e">
        <f>AND(#REF!,"AAAAABre214=")</f>
        <v>#REF!</v>
      </c>
      <c r="CR56" t="e">
        <f>AND(#REF!,"AAAAABre218=")</f>
        <v>#REF!</v>
      </c>
      <c r="CS56" t="e">
        <f>IF(#REF!,"AAAAABre22A=",0)</f>
        <v>#REF!</v>
      </c>
      <c r="CT56" t="e">
        <f>AND(#REF!,"AAAAABre22E=")</f>
        <v>#REF!</v>
      </c>
      <c r="CU56" t="e">
        <f>AND(#REF!,"AAAAABre22I=")</f>
        <v>#REF!</v>
      </c>
      <c r="CV56" t="e">
        <f>AND(#REF!,"AAAAABre22M=")</f>
        <v>#REF!</v>
      </c>
      <c r="CW56" t="e">
        <f>AND(#REF!,"AAAAABre22Q=")</f>
        <v>#REF!</v>
      </c>
      <c r="CX56" t="e">
        <f>AND(#REF!,"AAAAABre22U=")</f>
        <v>#REF!</v>
      </c>
      <c r="CY56" t="e">
        <f>AND(#REF!,"AAAAABre22Y=")</f>
        <v>#REF!</v>
      </c>
      <c r="CZ56" t="e">
        <f>AND(#REF!,"AAAAABre22c=")</f>
        <v>#REF!</v>
      </c>
      <c r="DA56" t="e">
        <f>AND(#REF!,"AAAAABre22g=")</f>
        <v>#REF!</v>
      </c>
      <c r="DB56" t="e">
        <f>AND(#REF!,"AAAAABre22k=")</f>
        <v>#REF!</v>
      </c>
      <c r="DC56" t="e">
        <f>AND(#REF!,"AAAAABre22o=")</f>
        <v>#REF!</v>
      </c>
      <c r="DD56" t="e">
        <f>AND(#REF!,"AAAAABre22s=")</f>
        <v>#REF!</v>
      </c>
      <c r="DE56" t="e">
        <f>IF(#REF!,"AAAAABre22w=",0)</f>
        <v>#REF!</v>
      </c>
      <c r="DF56" t="e">
        <f>AND(#REF!,"AAAAABre220=")</f>
        <v>#REF!</v>
      </c>
      <c r="DG56" t="e">
        <f>AND(#REF!,"AAAAABre224=")</f>
        <v>#REF!</v>
      </c>
      <c r="DH56" t="e">
        <f>AND(#REF!,"AAAAABre228=")</f>
        <v>#REF!</v>
      </c>
      <c r="DI56" t="e">
        <f>AND(#REF!,"AAAAABre23A=")</f>
        <v>#REF!</v>
      </c>
      <c r="DJ56" t="e">
        <f>AND(#REF!,"AAAAABre23E=")</f>
        <v>#REF!</v>
      </c>
      <c r="DK56" t="e">
        <f>AND(#REF!,"AAAAABre23I=")</f>
        <v>#REF!</v>
      </c>
      <c r="DL56" t="e">
        <f>AND(#REF!,"AAAAABre23M=")</f>
        <v>#REF!</v>
      </c>
      <c r="DM56" t="e">
        <f>AND(#REF!,"AAAAABre23Q=")</f>
        <v>#REF!</v>
      </c>
      <c r="DN56" t="e">
        <f>AND(#REF!,"AAAAABre23U=")</f>
        <v>#REF!</v>
      </c>
      <c r="DO56" t="e">
        <f>AND(#REF!,"AAAAABre23Y=")</f>
        <v>#REF!</v>
      </c>
      <c r="DP56" t="e">
        <f>AND(#REF!,"AAAAABre23c=")</f>
        <v>#REF!</v>
      </c>
      <c r="DQ56" t="e">
        <f>IF(#REF!,"AAAAABre23g=",0)</f>
        <v>#REF!</v>
      </c>
      <c r="DR56" t="e">
        <f>AND(#REF!,"AAAAABre23k=")</f>
        <v>#REF!</v>
      </c>
      <c r="DS56" t="e">
        <f>AND(#REF!,"AAAAABre23o=")</f>
        <v>#REF!</v>
      </c>
      <c r="DT56" t="e">
        <f>AND(#REF!,"AAAAABre23s=")</f>
        <v>#REF!</v>
      </c>
      <c r="DU56" t="e">
        <f>AND(#REF!,"AAAAABre23w=")</f>
        <v>#REF!</v>
      </c>
      <c r="DV56" t="e">
        <f>AND(#REF!,"AAAAABre230=")</f>
        <v>#REF!</v>
      </c>
      <c r="DW56" t="e">
        <f>AND(#REF!,"AAAAABre234=")</f>
        <v>#REF!</v>
      </c>
      <c r="DX56" t="e">
        <f>AND(#REF!,"AAAAABre238=")</f>
        <v>#REF!</v>
      </c>
      <c r="DY56" t="e">
        <f>AND(#REF!,"AAAAABre24A=")</f>
        <v>#REF!</v>
      </c>
      <c r="DZ56" t="e">
        <f>AND(#REF!,"AAAAABre24E=")</f>
        <v>#REF!</v>
      </c>
      <c r="EA56" t="e">
        <f>AND(#REF!,"AAAAABre24I=")</f>
        <v>#REF!</v>
      </c>
      <c r="EB56" t="e">
        <f>AND(#REF!,"AAAAABre24M=")</f>
        <v>#REF!</v>
      </c>
      <c r="EC56" t="e">
        <f>IF(#REF!,"AAAAABre24Q=",0)</f>
        <v>#REF!</v>
      </c>
      <c r="ED56" t="e">
        <f>AND(#REF!,"AAAAABre24U=")</f>
        <v>#REF!</v>
      </c>
      <c r="EE56" t="e">
        <f>AND(#REF!,"AAAAABre24Y=")</f>
        <v>#REF!</v>
      </c>
      <c r="EF56" t="e">
        <f>AND(#REF!,"AAAAABre24c=")</f>
        <v>#REF!</v>
      </c>
      <c r="EG56" t="e">
        <f>AND(#REF!,"AAAAABre24g=")</f>
        <v>#REF!</v>
      </c>
      <c r="EH56" t="e">
        <f>AND(#REF!,"AAAAABre24k=")</f>
        <v>#REF!</v>
      </c>
      <c r="EI56" t="e">
        <f>AND(#REF!,"AAAAABre24o=")</f>
        <v>#REF!</v>
      </c>
      <c r="EJ56" t="e">
        <f>AND(#REF!,"AAAAABre24s=")</f>
        <v>#REF!</v>
      </c>
      <c r="EK56" t="e">
        <f>AND(#REF!,"AAAAABre24w=")</f>
        <v>#REF!</v>
      </c>
      <c r="EL56" t="e">
        <f>AND(#REF!,"AAAAABre240=")</f>
        <v>#REF!</v>
      </c>
      <c r="EM56" t="e">
        <f>AND(#REF!,"AAAAABre244=")</f>
        <v>#REF!</v>
      </c>
      <c r="EN56" t="e">
        <f>AND(#REF!,"AAAAABre248=")</f>
        <v>#REF!</v>
      </c>
      <c r="EO56" t="e">
        <f>IF(#REF!,"AAAAABre25A=",0)</f>
        <v>#REF!</v>
      </c>
      <c r="EP56" t="e">
        <f>AND(#REF!,"AAAAABre25E=")</f>
        <v>#REF!</v>
      </c>
      <c r="EQ56" t="e">
        <f>AND(#REF!,"AAAAABre25I=")</f>
        <v>#REF!</v>
      </c>
      <c r="ER56" t="e">
        <f>AND(#REF!,"AAAAABre25M=")</f>
        <v>#REF!</v>
      </c>
      <c r="ES56" t="e">
        <f>AND(#REF!,"AAAAABre25Q=")</f>
        <v>#REF!</v>
      </c>
      <c r="ET56" t="e">
        <f>AND(#REF!,"AAAAABre25U=")</f>
        <v>#REF!</v>
      </c>
      <c r="EU56" t="e">
        <f>AND(#REF!,"AAAAABre25Y=")</f>
        <v>#REF!</v>
      </c>
      <c r="EV56" t="e">
        <f>AND(#REF!,"AAAAABre25c=")</f>
        <v>#REF!</v>
      </c>
      <c r="EW56" t="e">
        <f>AND(#REF!,"AAAAABre25g=")</f>
        <v>#REF!</v>
      </c>
      <c r="EX56" t="e">
        <f>AND(#REF!,"AAAAABre25k=")</f>
        <v>#REF!</v>
      </c>
      <c r="EY56" t="e">
        <f>AND(#REF!,"AAAAABre25o=")</f>
        <v>#REF!</v>
      </c>
      <c r="EZ56" t="e">
        <f>AND(#REF!,"AAAAABre25s=")</f>
        <v>#REF!</v>
      </c>
      <c r="FA56" t="e">
        <f>IF(#REF!,"AAAAABre25w=",0)</f>
        <v>#REF!</v>
      </c>
      <c r="FB56" t="e">
        <f>AND(#REF!,"AAAAABre250=")</f>
        <v>#REF!</v>
      </c>
      <c r="FC56" t="e">
        <f>AND(#REF!,"AAAAABre254=")</f>
        <v>#REF!</v>
      </c>
      <c r="FD56" t="e">
        <f>AND(#REF!,"AAAAABre258=")</f>
        <v>#REF!</v>
      </c>
      <c r="FE56" t="e">
        <f>AND(#REF!,"AAAAABre26A=")</f>
        <v>#REF!</v>
      </c>
      <c r="FF56" t="e">
        <f>AND(#REF!,"AAAAABre26E=")</f>
        <v>#REF!</v>
      </c>
      <c r="FG56" t="e">
        <f>AND(#REF!,"AAAAABre26I=")</f>
        <v>#REF!</v>
      </c>
      <c r="FH56" t="e">
        <f>AND(#REF!,"AAAAABre26M=")</f>
        <v>#REF!</v>
      </c>
      <c r="FI56" t="e">
        <f>AND(#REF!,"AAAAABre26Q=")</f>
        <v>#REF!</v>
      </c>
      <c r="FJ56" t="e">
        <f>AND(#REF!,"AAAAABre26U=")</f>
        <v>#REF!</v>
      </c>
      <c r="FK56" t="e">
        <f>AND(#REF!,"AAAAABre26Y=")</f>
        <v>#REF!</v>
      </c>
      <c r="FL56" t="e">
        <f>AND(#REF!,"AAAAABre26c=")</f>
        <v>#REF!</v>
      </c>
      <c r="FM56" t="e">
        <f>IF(#REF!,"AAAAABre26g=",0)</f>
        <v>#REF!</v>
      </c>
      <c r="FN56" t="e">
        <f>AND(#REF!,"AAAAABre26k=")</f>
        <v>#REF!</v>
      </c>
      <c r="FO56" t="e">
        <f>AND(#REF!,"AAAAABre26o=")</f>
        <v>#REF!</v>
      </c>
      <c r="FP56" t="e">
        <f>AND(#REF!,"AAAAABre26s=")</f>
        <v>#REF!</v>
      </c>
      <c r="FQ56" t="e">
        <f>AND(#REF!,"AAAAABre26w=")</f>
        <v>#REF!</v>
      </c>
      <c r="FR56" t="e">
        <f>AND(#REF!,"AAAAABre260=")</f>
        <v>#REF!</v>
      </c>
      <c r="FS56" t="e">
        <f>AND(#REF!,"AAAAABre264=")</f>
        <v>#REF!</v>
      </c>
      <c r="FT56" t="e">
        <f>AND(#REF!,"AAAAABre268=")</f>
        <v>#REF!</v>
      </c>
      <c r="FU56" t="e">
        <f>AND(#REF!,"AAAAABre27A=")</f>
        <v>#REF!</v>
      </c>
      <c r="FV56" t="e">
        <f>AND(#REF!,"AAAAABre27E=")</f>
        <v>#REF!</v>
      </c>
      <c r="FW56" t="e">
        <f>AND(#REF!,"AAAAABre27I=")</f>
        <v>#REF!</v>
      </c>
      <c r="FX56" t="e">
        <f>AND(#REF!,"AAAAABre27M=")</f>
        <v>#REF!</v>
      </c>
      <c r="FY56" t="e">
        <f>IF(#REF!,"AAAAABre27Q=",0)</f>
        <v>#REF!</v>
      </c>
      <c r="FZ56" t="e">
        <f>AND(#REF!,"AAAAABre27U=")</f>
        <v>#REF!</v>
      </c>
      <c r="GA56" t="e">
        <f>AND(#REF!,"AAAAABre27Y=")</f>
        <v>#REF!</v>
      </c>
      <c r="GB56" t="e">
        <f>AND(#REF!,"AAAAABre27c=")</f>
        <v>#REF!</v>
      </c>
      <c r="GC56" t="e">
        <f>AND(#REF!,"AAAAABre27g=")</f>
        <v>#REF!</v>
      </c>
      <c r="GD56" t="e">
        <f>AND(#REF!,"AAAAABre27k=")</f>
        <v>#REF!</v>
      </c>
      <c r="GE56" t="e">
        <f>AND(#REF!,"AAAAABre27o=")</f>
        <v>#REF!</v>
      </c>
      <c r="GF56" t="e">
        <f>AND(#REF!,"AAAAABre27s=")</f>
        <v>#REF!</v>
      </c>
      <c r="GG56" t="e">
        <f>AND(#REF!,"AAAAABre27w=")</f>
        <v>#REF!</v>
      </c>
      <c r="GH56" t="e">
        <f>AND(#REF!,"AAAAABre270=")</f>
        <v>#REF!</v>
      </c>
      <c r="GI56" t="e">
        <f>AND(#REF!,"AAAAABre274=")</f>
        <v>#REF!</v>
      </c>
      <c r="GJ56" t="e">
        <f>AND(#REF!,"AAAAABre278=")</f>
        <v>#REF!</v>
      </c>
      <c r="GK56" t="e">
        <f>IF(#REF!,"AAAAABre28A=",0)</f>
        <v>#REF!</v>
      </c>
      <c r="GL56" t="e">
        <f>AND(#REF!,"AAAAABre28E=")</f>
        <v>#REF!</v>
      </c>
      <c r="GM56" t="e">
        <f>AND(#REF!,"AAAAABre28I=")</f>
        <v>#REF!</v>
      </c>
      <c r="GN56" t="e">
        <f>AND(#REF!,"AAAAABre28M=")</f>
        <v>#REF!</v>
      </c>
      <c r="GO56" t="e">
        <f>AND(#REF!,"AAAAABre28Q=")</f>
        <v>#REF!</v>
      </c>
      <c r="GP56" t="e">
        <f>AND(#REF!,"AAAAABre28U=")</f>
        <v>#REF!</v>
      </c>
      <c r="GQ56" t="e">
        <f>AND(#REF!,"AAAAABre28Y=")</f>
        <v>#REF!</v>
      </c>
      <c r="GR56" t="e">
        <f>AND(#REF!,"AAAAABre28c=")</f>
        <v>#REF!</v>
      </c>
      <c r="GS56" t="e">
        <f>AND(#REF!,"AAAAABre28g=")</f>
        <v>#REF!</v>
      </c>
      <c r="GT56" t="e">
        <f>AND(#REF!,"AAAAABre28k=")</f>
        <v>#REF!</v>
      </c>
      <c r="GU56" t="e">
        <f>AND(#REF!,"AAAAABre28o=")</f>
        <v>#REF!</v>
      </c>
      <c r="GV56" t="e">
        <f>AND(#REF!,"AAAAABre28s=")</f>
        <v>#REF!</v>
      </c>
      <c r="GW56" t="e">
        <f>IF(#REF!,"AAAAABre28w=",0)</f>
        <v>#REF!</v>
      </c>
      <c r="GX56" t="e">
        <f>AND(#REF!,"AAAAABre280=")</f>
        <v>#REF!</v>
      </c>
      <c r="GY56" t="e">
        <f>AND(#REF!,"AAAAABre284=")</f>
        <v>#REF!</v>
      </c>
      <c r="GZ56" t="e">
        <f>AND(#REF!,"AAAAABre288=")</f>
        <v>#REF!</v>
      </c>
      <c r="HA56" t="e">
        <f>AND(#REF!,"AAAAABre29A=")</f>
        <v>#REF!</v>
      </c>
      <c r="HB56" t="e">
        <f>AND(#REF!,"AAAAABre29E=")</f>
        <v>#REF!</v>
      </c>
      <c r="HC56" t="e">
        <f>AND(#REF!,"AAAAABre29I=")</f>
        <v>#REF!</v>
      </c>
      <c r="HD56" t="e">
        <f>AND(#REF!,"AAAAABre29M=")</f>
        <v>#REF!</v>
      </c>
      <c r="HE56" t="e">
        <f>AND(#REF!,"AAAAABre29Q=")</f>
        <v>#REF!</v>
      </c>
      <c r="HF56" t="e">
        <f>AND(#REF!,"AAAAABre29U=")</f>
        <v>#REF!</v>
      </c>
      <c r="HG56" t="e">
        <f>AND(#REF!,"AAAAABre29Y=")</f>
        <v>#REF!</v>
      </c>
      <c r="HH56" t="e">
        <f>AND(#REF!,"AAAAABre29c=")</f>
        <v>#REF!</v>
      </c>
      <c r="HI56" t="e">
        <f>IF(#REF!,"AAAAABre29g=",0)</f>
        <v>#REF!</v>
      </c>
      <c r="HJ56" t="e">
        <f>AND(#REF!,"AAAAABre29k=")</f>
        <v>#REF!</v>
      </c>
      <c r="HK56" t="e">
        <f>AND(#REF!,"AAAAABre29o=")</f>
        <v>#REF!</v>
      </c>
      <c r="HL56" t="e">
        <f>AND(#REF!,"AAAAABre29s=")</f>
        <v>#REF!</v>
      </c>
      <c r="HM56" t="e">
        <f>AND(#REF!,"AAAAABre29w=")</f>
        <v>#REF!</v>
      </c>
      <c r="HN56" t="e">
        <f>AND(#REF!,"AAAAABre290=")</f>
        <v>#REF!</v>
      </c>
      <c r="HO56" t="e">
        <f>AND(#REF!,"AAAAABre294=")</f>
        <v>#REF!</v>
      </c>
      <c r="HP56" t="e">
        <f>AND(#REF!,"AAAAABre298=")</f>
        <v>#REF!</v>
      </c>
      <c r="HQ56" t="e">
        <f>AND(#REF!,"AAAAABre2+A=")</f>
        <v>#REF!</v>
      </c>
      <c r="HR56" t="e">
        <f>AND(#REF!,"AAAAABre2+E=")</f>
        <v>#REF!</v>
      </c>
      <c r="HS56" t="e">
        <f>AND(#REF!,"AAAAABre2+I=")</f>
        <v>#REF!</v>
      </c>
      <c r="HT56" t="e">
        <f>AND(#REF!,"AAAAABre2+M=")</f>
        <v>#REF!</v>
      </c>
      <c r="HU56" t="e">
        <f>IF(#REF!,"AAAAABre2+Q=",0)</f>
        <v>#REF!</v>
      </c>
      <c r="HV56" t="e">
        <f>AND(#REF!,"AAAAABre2+U=")</f>
        <v>#REF!</v>
      </c>
      <c r="HW56" t="e">
        <f>AND(#REF!,"AAAAABre2+Y=")</f>
        <v>#REF!</v>
      </c>
      <c r="HX56" t="e">
        <f>AND(#REF!,"AAAAABre2+c=")</f>
        <v>#REF!</v>
      </c>
      <c r="HY56" t="e">
        <f>AND(#REF!,"AAAAABre2+g=")</f>
        <v>#REF!</v>
      </c>
      <c r="HZ56" t="e">
        <f>AND(#REF!,"AAAAABre2+k=")</f>
        <v>#REF!</v>
      </c>
      <c r="IA56" t="e">
        <f>AND(#REF!,"AAAAABre2+o=")</f>
        <v>#REF!</v>
      </c>
      <c r="IB56" t="e">
        <f>AND(#REF!,"AAAAABre2+s=")</f>
        <v>#REF!</v>
      </c>
      <c r="IC56" t="e">
        <f>AND(#REF!,"AAAAABre2+w=")</f>
        <v>#REF!</v>
      </c>
      <c r="ID56" t="e">
        <f>AND(#REF!,"AAAAABre2+0=")</f>
        <v>#REF!</v>
      </c>
      <c r="IE56" t="e">
        <f>AND(#REF!,"AAAAABre2+4=")</f>
        <v>#REF!</v>
      </c>
      <c r="IF56" t="e">
        <f>AND(#REF!,"AAAAABre2+8=")</f>
        <v>#REF!</v>
      </c>
      <c r="IG56" t="e">
        <f>IF(#REF!,"AAAAABre2/A=",0)</f>
        <v>#REF!</v>
      </c>
      <c r="IH56" t="e">
        <f>AND(#REF!,"AAAAABre2/E=")</f>
        <v>#REF!</v>
      </c>
      <c r="II56" t="e">
        <f>AND(#REF!,"AAAAABre2/I=")</f>
        <v>#REF!</v>
      </c>
      <c r="IJ56" t="e">
        <f>AND(#REF!,"AAAAABre2/M=")</f>
        <v>#REF!</v>
      </c>
      <c r="IK56" t="e">
        <f>AND(#REF!,"AAAAABre2/Q=")</f>
        <v>#REF!</v>
      </c>
      <c r="IL56" t="e">
        <f>AND(#REF!,"AAAAABre2/U=")</f>
        <v>#REF!</v>
      </c>
      <c r="IM56" t="e">
        <f>AND(#REF!,"AAAAABre2/Y=")</f>
        <v>#REF!</v>
      </c>
      <c r="IN56" t="e">
        <f>AND(#REF!,"AAAAABre2/c=")</f>
        <v>#REF!</v>
      </c>
      <c r="IO56" t="e">
        <f>AND(#REF!,"AAAAABre2/g=")</f>
        <v>#REF!</v>
      </c>
      <c r="IP56" t="e">
        <f>AND(#REF!,"AAAAABre2/k=")</f>
        <v>#REF!</v>
      </c>
      <c r="IQ56" t="e">
        <f>AND(#REF!,"AAAAABre2/o=")</f>
        <v>#REF!</v>
      </c>
      <c r="IR56" t="e">
        <f>AND(#REF!,"AAAAABre2/s=")</f>
        <v>#REF!</v>
      </c>
      <c r="IS56" t="e">
        <f>IF(#REF!,"AAAAABre2/w=",0)</f>
        <v>#REF!</v>
      </c>
      <c r="IT56" t="e">
        <f>AND(#REF!,"AAAAABre2/0=")</f>
        <v>#REF!</v>
      </c>
      <c r="IU56" t="e">
        <f>AND(#REF!,"AAAAABre2/4=")</f>
        <v>#REF!</v>
      </c>
      <c r="IV56" t="e">
        <f>AND(#REF!,"AAAAABre2/8=")</f>
        <v>#REF!</v>
      </c>
    </row>
    <row r="57" spans="1:256">
      <c r="A57" t="e">
        <f>AND(#REF!,"AAAAAGvavwA=")</f>
        <v>#REF!</v>
      </c>
      <c r="B57" t="e">
        <f>AND(#REF!,"AAAAAGvavwE=")</f>
        <v>#REF!</v>
      </c>
      <c r="C57" t="e">
        <f>AND(#REF!,"AAAAAGvavwI=")</f>
        <v>#REF!</v>
      </c>
      <c r="D57" t="e">
        <f>AND(#REF!,"AAAAAGvavwM=")</f>
        <v>#REF!</v>
      </c>
      <c r="E57" t="e">
        <f>AND(#REF!,"AAAAAGvavwQ=")</f>
        <v>#REF!</v>
      </c>
      <c r="F57" t="e">
        <f>AND(#REF!,"AAAAAGvavwU=")</f>
        <v>#REF!</v>
      </c>
      <c r="G57" t="e">
        <f>AND(#REF!,"AAAAAGvavwY=")</f>
        <v>#REF!</v>
      </c>
      <c r="H57" t="e">
        <f>AND(#REF!,"AAAAAGvavwc=")</f>
        <v>#REF!</v>
      </c>
      <c r="I57" t="e">
        <f>IF(#REF!,"AAAAAGvavwg=",0)</f>
        <v>#REF!</v>
      </c>
      <c r="J57" t="e">
        <f>AND(#REF!,"AAAAAGvavwk=")</f>
        <v>#REF!</v>
      </c>
      <c r="K57" t="e">
        <f>AND(#REF!,"AAAAAGvavwo=")</f>
        <v>#REF!</v>
      </c>
      <c r="L57" t="e">
        <f>AND(#REF!,"AAAAAGvavws=")</f>
        <v>#REF!</v>
      </c>
      <c r="M57" t="e">
        <f>AND(#REF!,"AAAAAGvavww=")</f>
        <v>#REF!</v>
      </c>
      <c r="N57" t="e">
        <f>AND(#REF!,"AAAAAGvavw0=")</f>
        <v>#REF!</v>
      </c>
      <c r="O57" t="e">
        <f>AND(#REF!,"AAAAAGvavw4=")</f>
        <v>#REF!</v>
      </c>
      <c r="P57" t="e">
        <f>AND(#REF!,"AAAAAGvavw8=")</f>
        <v>#REF!</v>
      </c>
      <c r="Q57" t="e">
        <f>AND(#REF!,"AAAAAGvavxA=")</f>
        <v>#REF!</v>
      </c>
      <c r="R57" t="e">
        <f>AND(#REF!,"AAAAAGvavxE=")</f>
        <v>#REF!</v>
      </c>
      <c r="S57" t="e">
        <f>AND(#REF!,"AAAAAGvavxI=")</f>
        <v>#REF!</v>
      </c>
      <c r="T57" t="e">
        <f>AND(#REF!,"AAAAAGvavxM=")</f>
        <v>#REF!</v>
      </c>
      <c r="U57" t="e">
        <f>IF(#REF!,"AAAAAGvavxQ=",0)</f>
        <v>#REF!</v>
      </c>
      <c r="V57" t="e">
        <f>AND(#REF!,"AAAAAGvavxU=")</f>
        <v>#REF!</v>
      </c>
      <c r="W57" t="e">
        <f>AND(#REF!,"AAAAAGvavxY=")</f>
        <v>#REF!</v>
      </c>
      <c r="X57" t="e">
        <f>AND(#REF!,"AAAAAGvavxc=")</f>
        <v>#REF!</v>
      </c>
      <c r="Y57" t="e">
        <f>AND(#REF!,"AAAAAGvavxg=")</f>
        <v>#REF!</v>
      </c>
      <c r="Z57" t="e">
        <f>AND(#REF!,"AAAAAGvavxk=")</f>
        <v>#REF!</v>
      </c>
      <c r="AA57" t="e">
        <f>AND(#REF!,"AAAAAGvavxo=")</f>
        <v>#REF!</v>
      </c>
      <c r="AB57" t="e">
        <f>AND(#REF!,"AAAAAGvavxs=")</f>
        <v>#REF!</v>
      </c>
      <c r="AC57" t="e">
        <f>AND(#REF!,"AAAAAGvavxw=")</f>
        <v>#REF!</v>
      </c>
      <c r="AD57" t="e">
        <f>AND(#REF!,"AAAAAGvavx0=")</f>
        <v>#REF!</v>
      </c>
      <c r="AE57" t="e">
        <f>AND(#REF!,"AAAAAGvavx4=")</f>
        <v>#REF!</v>
      </c>
      <c r="AF57" t="e">
        <f>AND(#REF!,"AAAAAGvavx8=")</f>
        <v>#REF!</v>
      </c>
      <c r="AG57" t="e">
        <f>IF(#REF!,"AAAAAGvavyA=",0)</f>
        <v>#REF!</v>
      </c>
      <c r="AH57" t="e">
        <f>AND(#REF!,"AAAAAGvavyE=")</f>
        <v>#REF!</v>
      </c>
      <c r="AI57" t="e">
        <f>AND(#REF!,"AAAAAGvavyI=")</f>
        <v>#REF!</v>
      </c>
      <c r="AJ57" t="e">
        <f>AND(#REF!,"AAAAAGvavyM=")</f>
        <v>#REF!</v>
      </c>
      <c r="AK57" t="e">
        <f>AND(#REF!,"AAAAAGvavyQ=")</f>
        <v>#REF!</v>
      </c>
      <c r="AL57" t="e">
        <f>AND(#REF!,"AAAAAGvavyU=")</f>
        <v>#REF!</v>
      </c>
      <c r="AM57" t="e">
        <f>AND(#REF!,"AAAAAGvavyY=")</f>
        <v>#REF!</v>
      </c>
      <c r="AN57" t="e">
        <f>AND(#REF!,"AAAAAGvavyc=")</f>
        <v>#REF!</v>
      </c>
      <c r="AO57" t="e">
        <f>AND(#REF!,"AAAAAGvavyg=")</f>
        <v>#REF!</v>
      </c>
      <c r="AP57" t="e">
        <f>AND(#REF!,"AAAAAGvavyk=")</f>
        <v>#REF!</v>
      </c>
      <c r="AQ57" t="e">
        <f>AND(#REF!,"AAAAAGvavyo=")</f>
        <v>#REF!</v>
      </c>
      <c r="AR57" t="e">
        <f>AND(#REF!,"AAAAAGvavys=")</f>
        <v>#REF!</v>
      </c>
      <c r="AS57" t="e">
        <f>IF(#REF!,"AAAAAGvavyw=",0)</f>
        <v>#REF!</v>
      </c>
      <c r="AT57" t="e">
        <f>AND(#REF!,"AAAAAGvavy0=")</f>
        <v>#REF!</v>
      </c>
      <c r="AU57" t="e">
        <f>AND(#REF!,"AAAAAGvavy4=")</f>
        <v>#REF!</v>
      </c>
      <c r="AV57" t="e">
        <f>AND(#REF!,"AAAAAGvavy8=")</f>
        <v>#REF!</v>
      </c>
      <c r="AW57" t="e">
        <f>AND(#REF!,"AAAAAGvavzA=")</f>
        <v>#REF!</v>
      </c>
      <c r="AX57" t="e">
        <f>AND(#REF!,"AAAAAGvavzE=")</f>
        <v>#REF!</v>
      </c>
      <c r="AY57" t="e">
        <f>AND(#REF!,"AAAAAGvavzI=")</f>
        <v>#REF!</v>
      </c>
      <c r="AZ57" t="e">
        <f>AND(#REF!,"AAAAAGvavzM=")</f>
        <v>#REF!</v>
      </c>
      <c r="BA57" t="e">
        <f>AND(#REF!,"AAAAAGvavzQ=")</f>
        <v>#REF!</v>
      </c>
      <c r="BB57" t="e">
        <f>AND(#REF!,"AAAAAGvavzU=")</f>
        <v>#REF!</v>
      </c>
      <c r="BC57" t="e">
        <f>AND(#REF!,"AAAAAGvavzY=")</f>
        <v>#REF!</v>
      </c>
      <c r="BD57" t="e">
        <f>AND(#REF!,"AAAAAGvavzc=")</f>
        <v>#REF!</v>
      </c>
      <c r="BE57" t="e">
        <f>IF(#REF!,"AAAAAGvavzg=",0)</f>
        <v>#REF!</v>
      </c>
      <c r="BF57" t="e">
        <f>AND(#REF!,"AAAAAGvavzk=")</f>
        <v>#REF!</v>
      </c>
      <c r="BG57" t="e">
        <f>AND(#REF!,"AAAAAGvavzo=")</f>
        <v>#REF!</v>
      </c>
      <c r="BH57" t="e">
        <f>AND(#REF!,"AAAAAGvavzs=")</f>
        <v>#REF!</v>
      </c>
      <c r="BI57" t="e">
        <f>AND(#REF!,"AAAAAGvavzw=")</f>
        <v>#REF!</v>
      </c>
      <c r="BJ57" t="e">
        <f>AND(#REF!,"AAAAAGvavz0=")</f>
        <v>#REF!</v>
      </c>
      <c r="BK57" t="e">
        <f>AND(#REF!,"AAAAAGvavz4=")</f>
        <v>#REF!</v>
      </c>
      <c r="BL57" t="e">
        <f>AND(#REF!,"AAAAAGvavz8=")</f>
        <v>#REF!</v>
      </c>
      <c r="BM57" t="e">
        <f>AND(#REF!,"AAAAAGvav0A=")</f>
        <v>#REF!</v>
      </c>
      <c r="BN57" t="e">
        <f>AND(#REF!,"AAAAAGvav0E=")</f>
        <v>#REF!</v>
      </c>
      <c r="BO57" t="e">
        <f>AND(#REF!,"AAAAAGvav0I=")</f>
        <v>#REF!</v>
      </c>
      <c r="BP57" t="e">
        <f>AND(#REF!,"AAAAAGvav0M=")</f>
        <v>#REF!</v>
      </c>
      <c r="BQ57" t="e">
        <f>IF(#REF!,"AAAAAGvav0Q=",0)</f>
        <v>#REF!</v>
      </c>
      <c r="BR57" t="e">
        <f>AND(#REF!,"AAAAAGvav0U=")</f>
        <v>#REF!</v>
      </c>
      <c r="BS57" t="e">
        <f>AND(#REF!,"AAAAAGvav0Y=")</f>
        <v>#REF!</v>
      </c>
      <c r="BT57" t="e">
        <f>AND(#REF!,"AAAAAGvav0c=")</f>
        <v>#REF!</v>
      </c>
      <c r="BU57" t="e">
        <f>AND(#REF!,"AAAAAGvav0g=")</f>
        <v>#REF!</v>
      </c>
      <c r="BV57" t="e">
        <f>AND(#REF!,"AAAAAGvav0k=")</f>
        <v>#REF!</v>
      </c>
      <c r="BW57" t="e">
        <f>AND(#REF!,"AAAAAGvav0o=")</f>
        <v>#REF!</v>
      </c>
      <c r="BX57" t="e">
        <f>AND(#REF!,"AAAAAGvav0s=")</f>
        <v>#REF!</v>
      </c>
      <c r="BY57" t="e">
        <f>AND(#REF!,"AAAAAGvav0w=")</f>
        <v>#REF!</v>
      </c>
      <c r="BZ57" t="e">
        <f>AND(#REF!,"AAAAAGvav00=")</f>
        <v>#REF!</v>
      </c>
      <c r="CA57" t="e">
        <f>AND(#REF!,"AAAAAGvav04=")</f>
        <v>#REF!</v>
      </c>
      <c r="CB57" t="e">
        <f>AND(#REF!,"AAAAAGvav08=")</f>
        <v>#REF!</v>
      </c>
      <c r="CC57" t="e">
        <f>IF(#REF!,"AAAAAGvav1A=",0)</f>
        <v>#REF!</v>
      </c>
      <c r="CD57" t="e">
        <f>AND(#REF!,"AAAAAGvav1E=")</f>
        <v>#REF!</v>
      </c>
      <c r="CE57" t="e">
        <f>AND(#REF!,"AAAAAGvav1I=")</f>
        <v>#REF!</v>
      </c>
      <c r="CF57" t="e">
        <f>AND(#REF!,"AAAAAGvav1M=")</f>
        <v>#REF!</v>
      </c>
      <c r="CG57" t="e">
        <f>AND(#REF!,"AAAAAGvav1Q=")</f>
        <v>#REF!</v>
      </c>
      <c r="CH57" t="e">
        <f>AND(#REF!,"AAAAAGvav1U=")</f>
        <v>#REF!</v>
      </c>
      <c r="CI57" t="e">
        <f>AND(#REF!,"AAAAAGvav1Y=")</f>
        <v>#REF!</v>
      </c>
      <c r="CJ57" t="e">
        <f>AND(#REF!,"AAAAAGvav1c=")</f>
        <v>#REF!</v>
      </c>
      <c r="CK57" t="e">
        <f>AND(#REF!,"AAAAAGvav1g=")</f>
        <v>#REF!</v>
      </c>
      <c r="CL57" t="e">
        <f>AND(#REF!,"AAAAAGvav1k=")</f>
        <v>#REF!</v>
      </c>
      <c r="CM57" t="e">
        <f>AND(#REF!,"AAAAAGvav1o=")</f>
        <v>#REF!</v>
      </c>
      <c r="CN57" t="e">
        <f>AND(#REF!,"AAAAAGvav1s=")</f>
        <v>#REF!</v>
      </c>
      <c r="CO57" t="e">
        <f>IF(#REF!,"AAAAAGvav1w=",0)</f>
        <v>#REF!</v>
      </c>
      <c r="CP57" t="e">
        <f>AND(#REF!,"AAAAAGvav10=")</f>
        <v>#REF!</v>
      </c>
      <c r="CQ57" t="e">
        <f>AND(#REF!,"AAAAAGvav14=")</f>
        <v>#REF!</v>
      </c>
      <c r="CR57" t="e">
        <f>AND(#REF!,"AAAAAGvav18=")</f>
        <v>#REF!</v>
      </c>
      <c r="CS57" t="e">
        <f>AND(#REF!,"AAAAAGvav2A=")</f>
        <v>#REF!</v>
      </c>
      <c r="CT57" t="e">
        <f>AND(#REF!,"AAAAAGvav2E=")</f>
        <v>#REF!</v>
      </c>
      <c r="CU57" t="e">
        <f>AND(#REF!,"AAAAAGvav2I=")</f>
        <v>#REF!</v>
      </c>
      <c r="CV57" t="e">
        <f>AND(#REF!,"AAAAAGvav2M=")</f>
        <v>#REF!</v>
      </c>
      <c r="CW57" t="e">
        <f>AND(#REF!,"AAAAAGvav2Q=")</f>
        <v>#REF!</v>
      </c>
      <c r="CX57" t="e">
        <f>AND(#REF!,"AAAAAGvav2U=")</f>
        <v>#REF!</v>
      </c>
      <c r="CY57" t="e">
        <f>AND(#REF!,"AAAAAGvav2Y=")</f>
        <v>#REF!</v>
      </c>
      <c r="CZ57" t="e">
        <f>AND(#REF!,"AAAAAGvav2c=")</f>
        <v>#REF!</v>
      </c>
      <c r="DA57" t="e">
        <f>IF(#REF!,"AAAAAGvav2g=",0)</f>
        <v>#REF!</v>
      </c>
      <c r="DB57" t="e">
        <f>AND(#REF!,"AAAAAGvav2k=")</f>
        <v>#REF!</v>
      </c>
      <c r="DC57" t="e">
        <f>AND(#REF!,"AAAAAGvav2o=")</f>
        <v>#REF!</v>
      </c>
      <c r="DD57" t="e">
        <f>AND(#REF!,"AAAAAGvav2s=")</f>
        <v>#REF!</v>
      </c>
      <c r="DE57" t="e">
        <f>AND(#REF!,"AAAAAGvav2w=")</f>
        <v>#REF!</v>
      </c>
      <c r="DF57" t="e">
        <f>AND(#REF!,"AAAAAGvav20=")</f>
        <v>#REF!</v>
      </c>
      <c r="DG57" t="e">
        <f>AND(#REF!,"AAAAAGvav24=")</f>
        <v>#REF!</v>
      </c>
      <c r="DH57" t="e">
        <f>AND(#REF!,"AAAAAGvav28=")</f>
        <v>#REF!</v>
      </c>
      <c r="DI57" t="e">
        <f>AND(#REF!,"AAAAAGvav3A=")</f>
        <v>#REF!</v>
      </c>
      <c r="DJ57" t="e">
        <f>AND(#REF!,"AAAAAGvav3E=")</f>
        <v>#REF!</v>
      </c>
      <c r="DK57" t="e">
        <f>AND(#REF!,"AAAAAGvav3I=")</f>
        <v>#REF!</v>
      </c>
      <c r="DL57" t="e">
        <f>AND(#REF!,"AAAAAGvav3M=")</f>
        <v>#REF!</v>
      </c>
      <c r="DM57" t="e">
        <f>IF(#REF!,"AAAAAGvav3Q=",0)</f>
        <v>#REF!</v>
      </c>
      <c r="DN57" t="e">
        <f>AND(#REF!,"AAAAAGvav3U=")</f>
        <v>#REF!</v>
      </c>
      <c r="DO57" t="e">
        <f>AND(#REF!,"AAAAAGvav3Y=")</f>
        <v>#REF!</v>
      </c>
      <c r="DP57" t="e">
        <f>AND(#REF!,"AAAAAGvav3c=")</f>
        <v>#REF!</v>
      </c>
      <c r="DQ57" t="e">
        <f>AND(#REF!,"AAAAAGvav3g=")</f>
        <v>#REF!</v>
      </c>
      <c r="DR57" t="e">
        <f>AND(#REF!,"AAAAAGvav3k=")</f>
        <v>#REF!</v>
      </c>
      <c r="DS57" t="e">
        <f>AND(#REF!,"AAAAAGvav3o=")</f>
        <v>#REF!</v>
      </c>
      <c r="DT57" t="e">
        <f>AND(#REF!,"AAAAAGvav3s=")</f>
        <v>#REF!</v>
      </c>
      <c r="DU57" t="e">
        <f>AND(#REF!,"AAAAAGvav3w=")</f>
        <v>#REF!</v>
      </c>
      <c r="DV57" t="e">
        <f>AND(#REF!,"AAAAAGvav30=")</f>
        <v>#REF!</v>
      </c>
      <c r="DW57" t="e">
        <f>AND(#REF!,"AAAAAGvav34=")</f>
        <v>#REF!</v>
      </c>
      <c r="DX57" t="e">
        <f>AND(#REF!,"AAAAAGvav38=")</f>
        <v>#REF!</v>
      </c>
      <c r="DY57" t="e">
        <f>IF(#REF!,"AAAAAGvav4A=",0)</f>
        <v>#REF!</v>
      </c>
      <c r="DZ57" t="e">
        <f>AND(#REF!,"AAAAAGvav4E=")</f>
        <v>#REF!</v>
      </c>
      <c r="EA57" t="e">
        <f>AND(#REF!,"AAAAAGvav4I=")</f>
        <v>#REF!</v>
      </c>
      <c r="EB57" t="e">
        <f>AND(#REF!,"AAAAAGvav4M=")</f>
        <v>#REF!</v>
      </c>
      <c r="EC57" t="e">
        <f>AND(#REF!,"AAAAAGvav4Q=")</f>
        <v>#REF!</v>
      </c>
      <c r="ED57" t="e">
        <f>AND(#REF!,"AAAAAGvav4U=")</f>
        <v>#REF!</v>
      </c>
      <c r="EE57" t="e">
        <f>AND(#REF!,"AAAAAGvav4Y=")</f>
        <v>#REF!</v>
      </c>
      <c r="EF57" t="e">
        <f>AND(#REF!,"AAAAAGvav4c=")</f>
        <v>#REF!</v>
      </c>
      <c r="EG57" t="e">
        <f>AND(#REF!,"AAAAAGvav4g=")</f>
        <v>#REF!</v>
      </c>
      <c r="EH57" t="e">
        <f>AND(#REF!,"AAAAAGvav4k=")</f>
        <v>#REF!</v>
      </c>
      <c r="EI57" t="e">
        <f>AND(#REF!,"AAAAAGvav4o=")</f>
        <v>#REF!</v>
      </c>
      <c r="EJ57" t="e">
        <f>AND(#REF!,"AAAAAGvav4s=")</f>
        <v>#REF!</v>
      </c>
      <c r="EK57" t="e">
        <f>IF(#REF!,"AAAAAGvav4w=",0)</f>
        <v>#REF!</v>
      </c>
      <c r="EL57" t="e">
        <f>AND(#REF!,"AAAAAGvav40=")</f>
        <v>#REF!</v>
      </c>
      <c r="EM57" t="e">
        <f>AND(#REF!,"AAAAAGvav44=")</f>
        <v>#REF!</v>
      </c>
      <c r="EN57" t="e">
        <f>AND(#REF!,"AAAAAGvav48=")</f>
        <v>#REF!</v>
      </c>
      <c r="EO57" t="e">
        <f>AND(#REF!,"AAAAAGvav5A=")</f>
        <v>#REF!</v>
      </c>
      <c r="EP57" t="e">
        <f>AND(#REF!,"AAAAAGvav5E=")</f>
        <v>#REF!</v>
      </c>
      <c r="EQ57" t="e">
        <f>AND(#REF!,"AAAAAGvav5I=")</f>
        <v>#REF!</v>
      </c>
      <c r="ER57" t="e">
        <f>AND(#REF!,"AAAAAGvav5M=")</f>
        <v>#REF!</v>
      </c>
      <c r="ES57" t="e">
        <f>AND(#REF!,"AAAAAGvav5Q=")</f>
        <v>#REF!</v>
      </c>
      <c r="ET57" t="e">
        <f>AND(#REF!,"AAAAAGvav5U=")</f>
        <v>#REF!</v>
      </c>
      <c r="EU57" t="e">
        <f>AND(#REF!,"AAAAAGvav5Y=")</f>
        <v>#REF!</v>
      </c>
      <c r="EV57" t="e">
        <f>AND(#REF!,"AAAAAGvav5c=")</f>
        <v>#REF!</v>
      </c>
      <c r="EW57" t="e">
        <f>IF(#REF!,"AAAAAGvav5g=",0)</f>
        <v>#REF!</v>
      </c>
      <c r="EX57" t="e">
        <f>AND(#REF!,"AAAAAGvav5k=")</f>
        <v>#REF!</v>
      </c>
      <c r="EY57" t="e">
        <f>AND(#REF!,"AAAAAGvav5o=")</f>
        <v>#REF!</v>
      </c>
      <c r="EZ57" t="e">
        <f>AND(#REF!,"AAAAAGvav5s=")</f>
        <v>#REF!</v>
      </c>
      <c r="FA57" t="e">
        <f>AND(#REF!,"AAAAAGvav5w=")</f>
        <v>#REF!</v>
      </c>
      <c r="FB57" t="e">
        <f>AND(#REF!,"AAAAAGvav50=")</f>
        <v>#REF!</v>
      </c>
      <c r="FC57" t="e">
        <f>AND(#REF!,"AAAAAGvav54=")</f>
        <v>#REF!</v>
      </c>
      <c r="FD57" t="e">
        <f>AND(#REF!,"AAAAAGvav58=")</f>
        <v>#REF!</v>
      </c>
      <c r="FE57" t="e">
        <f>AND(#REF!,"AAAAAGvav6A=")</f>
        <v>#REF!</v>
      </c>
      <c r="FF57" t="e">
        <f>AND(#REF!,"AAAAAGvav6E=")</f>
        <v>#REF!</v>
      </c>
      <c r="FG57" t="e">
        <f>AND(#REF!,"AAAAAGvav6I=")</f>
        <v>#REF!</v>
      </c>
      <c r="FH57" t="e">
        <f>AND(#REF!,"AAAAAGvav6M=")</f>
        <v>#REF!</v>
      </c>
      <c r="FI57" t="e">
        <f>IF(#REF!,"AAAAAGvav6Q=",0)</f>
        <v>#REF!</v>
      </c>
      <c r="FJ57" t="e">
        <f>AND(#REF!,"AAAAAGvav6U=")</f>
        <v>#REF!</v>
      </c>
      <c r="FK57" t="e">
        <f>AND(#REF!,"AAAAAGvav6Y=")</f>
        <v>#REF!</v>
      </c>
      <c r="FL57" t="e">
        <f>AND(#REF!,"AAAAAGvav6c=")</f>
        <v>#REF!</v>
      </c>
      <c r="FM57" t="e">
        <f>AND(#REF!,"AAAAAGvav6g=")</f>
        <v>#REF!</v>
      </c>
      <c r="FN57" t="e">
        <f>AND(#REF!,"AAAAAGvav6k=")</f>
        <v>#REF!</v>
      </c>
      <c r="FO57" t="e">
        <f>AND(#REF!,"AAAAAGvav6o=")</f>
        <v>#REF!</v>
      </c>
      <c r="FP57" t="e">
        <f>AND(#REF!,"AAAAAGvav6s=")</f>
        <v>#REF!</v>
      </c>
      <c r="FQ57" t="e">
        <f>AND(#REF!,"AAAAAGvav6w=")</f>
        <v>#REF!</v>
      </c>
      <c r="FR57" t="e">
        <f>AND(#REF!,"AAAAAGvav60=")</f>
        <v>#REF!</v>
      </c>
      <c r="FS57" t="e">
        <f>AND(#REF!,"AAAAAGvav64=")</f>
        <v>#REF!</v>
      </c>
      <c r="FT57" t="e">
        <f>AND(#REF!,"AAAAAGvav68=")</f>
        <v>#REF!</v>
      </c>
      <c r="FU57" t="e">
        <f>IF(#REF!,"AAAAAGvav7A=",0)</f>
        <v>#REF!</v>
      </c>
      <c r="FV57" t="e">
        <f>AND(#REF!,"AAAAAGvav7E=")</f>
        <v>#REF!</v>
      </c>
      <c r="FW57" t="e">
        <f>AND(#REF!,"AAAAAGvav7I=")</f>
        <v>#REF!</v>
      </c>
      <c r="FX57" t="e">
        <f>AND(#REF!,"AAAAAGvav7M=")</f>
        <v>#REF!</v>
      </c>
      <c r="FY57" t="e">
        <f>AND(#REF!,"AAAAAGvav7Q=")</f>
        <v>#REF!</v>
      </c>
      <c r="FZ57" t="e">
        <f>AND(#REF!,"AAAAAGvav7U=")</f>
        <v>#REF!</v>
      </c>
      <c r="GA57" t="e">
        <f>AND(#REF!,"AAAAAGvav7Y=")</f>
        <v>#REF!</v>
      </c>
      <c r="GB57" t="e">
        <f>AND(#REF!,"AAAAAGvav7c=")</f>
        <v>#REF!</v>
      </c>
      <c r="GC57" t="e">
        <f>AND(#REF!,"AAAAAGvav7g=")</f>
        <v>#REF!</v>
      </c>
      <c r="GD57" t="e">
        <f>AND(#REF!,"AAAAAGvav7k=")</f>
        <v>#REF!</v>
      </c>
      <c r="GE57" t="e">
        <f>AND(#REF!,"AAAAAGvav7o=")</f>
        <v>#REF!</v>
      </c>
      <c r="GF57" t="e">
        <f>AND(#REF!,"AAAAAGvav7s=")</f>
        <v>#REF!</v>
      </c>
      <c r="GG57" t="e">
        <f>IF(#REF!,"AAAAAGvav7w=",0)</f>
        <v>#REF!</v>
      </c>
      <c r="GH57" t="e">
        <f>AND(#REF!,"AAAAAGvav70=")</f>
        <v>#REF!</v>
      </c>
      <c r="GI57" t="e">
        <f>AND(#REF!,"AAAAAGvav74=")</f>
        <v>#REF!</v>
      </c>
      <c r="GJ57" t="e">
        <f>AND(#REF!,"AAAAAGvav78=")</f>
        <v>#REF!</v>
      </c>
      <c r="GK57" t="e">
        <f>AND(#REF!,"AAAAAGvav8A=")</f>
        <v>#REF!</v>
      </c>
      <c r="GL57" t="e">
        <f>AND(#REF!,"AAAAAGvav8E=")</f>
        <v>#REF!</v>
      </c>
      <c r="GM57" t="e">
        <f>AND(#REF!,"AAAAAGvav8I=")</f>
        <v>#REF!</v>
      </c>
      <c r="GN57" t="e">
        <f>AND(#REF!,"AAAAAGvav8M=")</f>
        <v>#REF!</v>
      </c>
      <c r="GO57" t="e">
        <f>AND(#REF!,"AAAAAGvav8Q=")</f>
        <v>#REF!</v>
      </c>
      <c r="GP57" t="e">
        <f>AND(#REF!,"AAAAAGvav8U=")</f>
        <v>#REF!</v>
      </c>
      <c r="GQ57" t="e">
        <f>AND(#REF!,"AAAAAGvav8Y=")</f>
        <v>#REF!</v>
      </c>
      <c r="GR57" t="e">
        <f>AND(#REF!,"AAAAAGvav8c=")</f>
        <v>#REF!</v>
      </c>
      <c r="GS57" t="e">
        <f>IF(#REF!,"AAAAAGvav8g=",0)</f>
        <v>#REF!</v>
      </c>
      <c r="GT57" t="e">
        <f>AND(#REF!,"AAAAAGvav8k=")</f>
        <v>#REF!</v>
      </c>
      <c r="GU57" t="e">
        <f>AND(#REF!,"AAAAAGvav8o=")</f>
        <v>#REF!</v>
      </c>
      <c r="GV57" t="e">
        <f>AND(#REF!,"AAAAAGvav8s=")</f>
        <v>#REF!</v>
      </c>
      <c r="GW57" t="e">
        <f>AND(#REF!,"AAAAAGvav8w=")</f>
        <v>#REF!</v>
      </c>
      <c r="GX57" t="e">
        <f>AND(#REF!,"AAAAAGvav80=")</f>
        <v>#REF!</v>
      </c>
      <c r="GY57" t="e">
        <f>AND(#REF!,"AAAAAGvav84=")</f>
        <v>#REF!</v>
      </c>
      <c r="GZ57" t="e">
        <f>AND(#REF!,"AAAAAGvav88=")</f>
        <v>#REF!</v>
      </c>
      <c r="HA57" t="e">
        <f>AND(#REF!,"AAAAAGvav9A=")</f>
        <v>#REF!</v>
      </c>
      <c r="HB57" t="e">
        <f>AND(#REF!,"AAAAAGvav9E=")</f>
        <v>#REF!</v>
      </c>
      <c r="HC57" t="e">
        <f>AND(#REF!,"AAAAAGvav9I=")</f>
        <v>#REF!</v>
      </c>
      <c r="HD57" t="e">
        <f>AND(#REF!,"AAAAAGvav9M=")</f>
        <v>#REF!</v>
      </c>
      <c r="HE57" t="e">
        <f>IF(#REF!,"AAAAAGvav9Q=",0)</f>
        <v>#REF!</v>
      </c>
      <c r="HF57" t="e">
        <f>AND(#REF!,"AAAAAGvav9U=")</f>
        <v>#REF!</v>
      </c>
      <c r="HG57" t="e">
        <f>AND(#REF!,"AAAAAGvav9Y=")</f>
        <v>#REF!</v>
      </c>
      <c r="HH57" t="e">
        <f>AND(#REF!,"AAAAAGvav9c=")</f>
        <v>#REF!</v>
      </c>
      <c r="HI57" t="e">
        <f>AND(#REF!,"AAAAAGvav9g=")</f>
        <v>#REF!</v>
      </c>
      <c r="HJ57" t="e">
        <f>AND(#REF!,"AAAAAGvav9k=")</f>
        <v>#REF!</v>
      </c>
      <c r="HK57" t="e">
        <f>AND(#REF!,"AAAAAGvav9o=")</f>
        <v>#REF!</v>
      </c>
      <c r="HL57" t="e">
        <f>AND(#REF!,"AAAAAGvav9s=")</f>
        <v>#REF!</v>
      </c>
      <c r="HM57" t="e">
        <f>AND(#REF!,"AAAAAGvav9w=")</f>
        <v>#REF!</v>
      </c>
      <c r="HN57" t="e">
        <f>AND(#REF!,"AAAAAGvav90=")</f>
        <v>#REF!</v>
      </c>
      <c r="HO57" t="e">
        <f>AND(#REF!,"AAAAAGvav94=")</f>
        <v>#REF!</v>
      </c>
      <c r="HP57" t="e">
        <f>AND(#REF!,"AAAAAGvav98=")</f>
        <v>#REF!</v>
      </c>
      <c r="HQ57" t="e">
        <f>IF(#REF!,"AAAAAGvav+A=",0)</f>
        <v>#REF!</v>
      </c>
      <c r="HR57" t="e">
        <f>IF(#REF!,"AAAAAGvav+E=",0)</f>
        <v>#REF!</v>
      </c>
      <c r="HS57" t="e">
        <f>IF(#REF!,"AAAAAGvav+I=",0)</f>
        <v>#REF!</v>
      </c>
      <c r="HT57" t="e">
        <f>IF(#REF!,"AAAAAGvav+M=",0)</f>
        <v>#REF!</v>
      </c>
      <c r="HU57" t="e">
        <f>IF(#REF!,"AAAAAGvav+Q=",0)</f>
        <v>#REF!</v>
      </c>
      <c r="HV57" t="e">
        <f>IF(#REF!,"AAAAAGvav+U=",0)</f>
        <v>#REF!</v>
      </c>
      <c r="HW57" t="e">
        <f>IF(#REF!,"AAAAAGvav+Y=",0)</f>
        <v>#REF!</v>
      </c>
      <c r="HX57" t="e">
        <f>IF(#REF!,"AAAAAGvav+c=",0)</f>
        <v>#REF!</v>
      </c>
      <c r="HY57" t="e">
        <f>IF(#REF!,"AAAAAGvav+g=",0)</f>
        <v>#REF!</v>
      </c>
      <c r="HZ57" t="e">
        <f>IF(#REF!,"AAAAAGvav+k=",0)</f>
        <v>#REF!</v>
      </c>
      <c r="IA57" t="e">
        <f>IF(#REF!,"AAAAAGvav+o=",0)</f>
        <v>#REF!</v>
      </c>
      <c r="IB57" t="s">
        <v>48</v>
      </c>
      <c r="IC57" t="e">
        <f>IF("N",[0]!_xlnm.Print_Area,"AAAAAGvav+w=")</f>
        <v>#VALUE!</v>
      </c>
      <c r="ID57" t="e">
        <f>IF("N",[0]!_xlnm.Print_Area,"AAAAAGvav+0=")</f>
        <v>#VALUE!</v>
      </c>
      <c r="IE57" t="e">
        <f>IF("N",_xlnm.Print_Area,"AAAAAGvav+4=")</f>
        <v>#VALUE!</v>
      </c>
    </row>
    <row r="58" spans="1:256">
      <c r="A58" t="s">
        <v>49</v>
      </c>
      <c r="B58" t="e">
        <f>IF("N",[0]!_xlnm.Print_Area,"AAAAAF/dPwE=")</f>
        <v>#VALUE!</v>
      </c>
      <c r="C58" t="e">
        <f>IF("N",[0]!_xlnm.Print_Area,"AAAAAF/dPwI=")</f>
        <v>#VALUE!</v>
      </c>
      <c r="D58" t="e">
        <f>IF("N",_xlnm.Print_Area,"AAAAAF/dPwM=")</f>
        <v>#VALUE!</v>
      </c>
    </row>
    <row r="59" spans="1:256">
      <c r="A59" t="s">
        <v>50</v>
      </c>
      <c r="B59" t="e">
        <f>IF("N",[0]!_xlnm.Print_Area,"AAAAAG/j1wE=")</f>
        <v>#VALUE!</v>
      </c>
      <c r="C59" t="e">
        <f>IF("N",[0]!_xlnm.Print_Area,"AAAAAG/j1wI=")</f>
        <v>#VALUE!</v>
      </c>
      <c r="D59" t="e">
        <f>IF("N",_xlnm.Print_Area,"AAAAAG/j1wM=")</f>
        <v>#VALUE!</v>
      </c>
    </row>
    <row r="60" spans="1:256">
      <c r="A60" t="e">
        <f>IF(#REF!,"AAAAAH+f/gA=",0)</f>
        <v>#REF!</v>
      </c>
      <c r="B60" t="e">
        <f>AND(#REF!,"AAAAAH+f/gE=")</f>
        <v>#REF!</v>
      </c>
      <c r="C60" t="e">
        <f>AND(#REF!,"AAAAAH+f/gI=")</f>
        <v>#REF!</v>
      </c>
      <c r="D60" t="e">
        <f>AND(#REF!,"AAAAAH+f/gM=")</f>
        <v>#REF!</v>
      </c>
      <c r="E60" t="e">
        <f>AND(#REF!,"AAAAAH+f/gQ=")</f>
        <v>#REF!</v>
      </c>
      <c r="F60" t="e">
        <f>AND(#REF!,"AAAAAH+f/gU=")</f>
        <v>#REF!</v>
      </c>
      <c r="G60" t="e">
        <f>AND(#REF!,"AAAAAH+f/gY=")</f>
        <v>#REF!</v>
      </c>
      <c r="H60" t="e">
        <f>AND(#REF!,"AAAAAH+f/gc=")</f>
        <v>#REF!</v>
      </c>
      <c r="I60" t="e">
        <f>AND(#REF!,"AAAAAH+f/gg=")</f>
        <v>#REF!</v>
      </c>
      <c r="J60" t="e">
        <f>AND(#REF!,"AAAAAH+f/gk=")</f>
        <v>#REF!</v>
      </c>
      <c r="K60" t="e">
        <f>AND(#REF!,"AAAAAH+f/go=")</f>
        <v>#REF!</v>
      </c>
      <c r="L60" t="e">
        <f>AND(#REF!,"AAAAAH+f/gs=")</f>
        <v>#REF!</v>
      </c>
      <c r="M60" t="e">
        <f>AND(#REF!,"AAAAAH+f/gw=")</f>
        <v>#REF!</v>
      </c>
      <c r="N60" t="e">
        <f>AND(#REF!,"AAAAAH+f/g0=")</f>
        <v>#REF!</v>
      </c>
      <c r="O60" t="e">
        <f>AND(#REF!,"AAAAAH+f/g4=")</f>
        <v>#REF!</v>
      </c>
      <c r="P60" t="e">
        <f>AND(#REF!,"AAAAAH+f/g8=")</f>
        <v>#REF!</v>
      </c>
      <c r="Q60" t="e">
        <f>AND(#REF!,"AAAAAH+f/hA=")</f>
        <v>#REF!</v>
      </c>
      <c r="R60" t="e">
        <f>AND(#REF!,"AAAAAH+f/hE=")</f>
        <v>#REF!</v>
      </c>
      <c r="S60" t="e">
        <f>AND(#REF!,"AAAAAH+f/hI=")</f>
        <v>#REF!</v>
      </c>
      <c r="T60" t="e">
        <f>AND(#REF!,"AAAAAH+f/hM=")</f>
        <v>#REF!</v>
      </c>
      <c r="U60" t="e">
        <f>AND(#REF!,"AAAAAH+f/hQ=")</f>
        <v>#REF!</v>
      </c>
      <c r="V60" t="e">
        <f>AND(#REF!,"AAAAAH+f/hU=")</f>
        <v>#REF!</v>
      </c>
      <c r="W60" t="e">
        <f>IF(#REF!,"AAAAAH+f/hY=",0)</f>
        <v>#REF!</v>
      </c>
      <c r="X60" t="e">
        <f>AND(#REF!,"AAAAAH+f/hc=")</f>
        <v>#REF!</v>
      </c>
      <c r="Y60" t="e">
        <f>AND(#REF!,"AAAAAH+f/hg=")</f>
        <v>#REF!</v>
      </c>
      <c r="Z60" t="e">
        <f>AND(#REF!,"AAAAAH+f/hk=")</f>
        <v>#REF!</v>
      </c>
      <c r="AA60" t="e">
        <f>AND(#REF!,"AAAAAH+f/ho=")</f>
        <v>#REF!</v>
      </c>
      <c r="AB60" t="e">
        <f>AND(#REF!,"AAAAAH+f/hs=")</f>
        <v>#REF!</v>
      </c>
      <c r="AC60" t="e">
        <f>AND(#REF!,"AAAAAH+f/hw=")</f>
        <v>#REF!</v>
      </c>
      <c r="AD60" t="e">
        <f>AND(#REF!,"AAAAAH+f/h0=")</f>
        <v>#REF!</v>
      </c>
      <c r="AE60" t="e">
        <f>AND(#REF!,"AAAAAH+f/h4=")</f>
        <v>#REF!</v>
      </c>
      <c r="AF60" t="e">
        <f>AND(#REF!,"AAAAAH+f/h8=")</f>
        <v>#REF!</v>
      </c>
      <c r="AG60" t="e">
        <f>AND(#REF!,"AAAAAH+f/iA=")</f>
        <v>#REF!</v>
      </c>
      <c r="AH60" t="e">
        <f>AND(#REF!,"AAAAAH+f/iE=")</f>
        <v>#REF!</v>
      </c>
      <c r="AI60" t="e">
        <f>AND(#REF!,"AAAAAH+f/iI=")</f>
        <v>#REF!</v>
      </c>
      <c r="AJ60" t="e">
        <f>AND(#REF!,"AAAAAH+f/iM=")</f>
        <v>#REF!</v>
      </c>
      <c r="AK60" t="e">
        <f>AND(#REF!,"AAAAAH+f/iQ=")</f>
        <v>#REF!</v>
      </c>
      <c r="AL60" t="e">
        <f>AND(#REF!,"AAAAAH+f/iU=")</f>
        <v>#REF!</v>
      </c>
      <c r="AM60" t="e">
        <f>AND(#REF!,"AAAAAH+f/iY=")</f>
        <v>#REF!</v>
      </c>
      <c r="AN60" t="e">
        <f>AND(#REF!,"AAAAAH+f/ic=")</f>
        <v>#REF!</v>
      </c>
      <c r="AO60" t="e">
        <f>AND(#REF!,"AAAAAH+f/ig=")</f>
        <v>#REF!</v>
      </c>
      <c r="AP60" t="e">
        <f>AND(#REF!,"AAAAAH+f/ik=")</f>
        <v>#REF!</v>
      </c>
      <c r="AQ60" t="e">
        <f>AND(#REF!,"AAAAAH+f/io=")</f>
        <v>#REF!</v>
      </c>
      <c r="AR60" t="e">
        <f>AND(#REF!,"AAAAAH+f/is=")</f>
        <v>#REF!</v>
      </c>
      <c r="AS60" t="e">
        <f>IF(#REF!,"AAAAAH+f/iw=",0)</f>
        <v>#REF!</v>
      </c>
      <c r="AT60" t="e">
        <f>AND(#REF!,"AAAAAH+f/i0=")</f>
        <v>#REF!</v>
      </c>
      <c r="AU60" t="e">
        <f>AND(#REF!,"AAAAAH+f/i4=")</f>
        <v>#REF!</v>
      </c>
      <c r="AV60" t="e">
        <f>AND(#REF!,"AAAAAH+f/i8=")</f>
        <v>#REF!</v>
      </c>
      <c r="AW60" t="e">
        <f>AND(#REF!,"AAAAAH+f/jA=")</f>
        <v>#REF!</v>
      </c>
      <c r="AX60" t="e">
        <f>AND(#REF!,"AAAAAH+f/jE=")</f>
        <v>#REF!</v>
      </c>
      <c r="AY60" t="e">
        <f>AND(#REF!,"AAAAAH+f/jI=")</f>
        <v>#REF!</v>
      </c>
      <c r="AZ60" t="e">
        <f>AND(#REF!,"AAAAAH+f/jM=")</f>
        <v>#REF!</v>
      </c>
      <c r="BA60" t="e">
        <f>AND(#REF!,"AAAAAH+f/jQ=")</f>
        <v>#REF!</v>
      </c>
      <c r="BB60" t="e">
        <f>AND(#REF!,"AAAAAH+f/jU=")</f>
        <v>#REF!</v>
      </c>
      <c r="BC60" t="e">
        <f>AND(#REF!,"AAAAAH+f/jY=")</f>
        <v>#REF!</v>
      </c>
      <c r="BD60" t="e">
        <f>AND(#REF!,"AAAAAH+f/jc=")</f>
        <v>#REF!</v>
      </c>
      <c r="BE60" t="e">
        <f>AND(#REF!,"AAAAAH+f/jg=")</f>
        <v>#REF!</v>
      </c>
      <c r="BF60" t="e">
        <f>AND(#REF!,"AAAAAH+f/jk=")</f>
        <v>#REF!</v>
      </c>
      <c r="BG60" t="e">
        <f>AND(#REF!,"AAAAAH+f/jo=")</f>
        <v>#REF!</v>
      </c>
      <c r="BH60" t="e">
        <f>AND(#REF!,"AAAAAH+f/js=")</f>
        <v>#REF!</v>
      </c>
      <c r="BI60" t="e">
        <f>AND(#REF!,"AAAAAH+f/jw=")</f>
        <v>#REF!</v>
      </c>
      <c r="BJ60" t="e">
        <f>AND(#REF!,"AAAAAH+f/j0=")</f>
        <v>#REF!</v>
      </c>
      <c r="BK60" t="e">
        <f>AND(#REF!,"AAAAAH+f/j4=")</f>
        <v>#REF!</v>
      </c>
      <c r="BL60" t="e">
        <f>AND(#REF!,"AAAAAH+f/j8=")</f>
        <v>#REF!</v>
      </c>
      <c r="BM60" t="e">
        <f>AND(#REF!,"AAAAAH+f/kA=")</f>
        <v>#REF!</v>
      </c>
      <c r="BN60" t="e">
        <f>AND(#REF!,"AAAAAH+f/kE=")</f>
        <v>#REF!</v>
      </c>
      <c r="BO60" t="e">
        <f>IF(#REF!,"AAAAAH+f/kI=",0)</f>
        <v>#REF!</v>
      </c>
      <c r="BP60" t="e">
        <f>AND(#REF!,"AAAAAH+f/kM=")</f>
        <v>#REF!</v>
      </c>
      <c r="BQ60" t="e">
        <f>AND(#REF!,"AAAAAH+f/kQ=")</f>
        <v>#REF!</v>
      </c>
      <c r="BR60" t="e">
        <f>AND(#REF!,"AAAAAH+f/kU=")</f>
        <v>#REF!</v>
      </c>
      <c r="BS60" t="e">
        <f>AND(#REF!,"AAAAAH+f/kY=")</f>
        <v>#REF!</v>
      </c>
      <c r="BT60" t="e">
        <f>AND(#REF!,"AAAAAH+f/kc=")</f>
        <v>#REF!</v>
      </c>
      <c r="BU60" t="e">
        <f>AND(#REF!,"AAAAAH+f/kg=")</f>
        <v>#REF!</v>
      </c>
      <c r="BV60" t="e">
        <f>AND(#REF!,"AAAAAH+f/kk=")</f>
        <v>#REF!</v>
      </c>
      <c r="BW60" t="e">
        <f>AND(#REF!,"AAAAAH+f/ko=")</f>
        <v>#REF!</v>
      </c>
      <c r="BX60" t="e">
        <f>AND(#REF!,"AAAAAH+f/ks=")</f>
        <v>#REF!</v>
      </c>
      <c r="BY60" t="e">
        <f>AND(#REF!,"AAAAAH+f/kw=")</f>
        <v>#REF!</v>
      </c>
      <c r="BZ60" t="e">
        <f>AND(#REF!,"AAAAAH+f/k0=")</f>
        <v>#REF!</v>
      </c>
      <c r="CA60" t="e">
        <f>AND(#REF!,"AAAAAH+f/k4=")</f>
        <v>#REF!</v>
      </c>
      <c r="CB60" t="e">
        <f>AND(#REF!,"AAAAAH+f/k8=")</f>
        <v>#REF!</v>
      </c>
      <c r="CC60" t="e">
        <f>AND(#REF!,"AAAAAH+f/lA=")</f>
        <v>#REF!</v>
      </c>
      <c r="CD60" t="e">
        <f>AND(#REF!,"AAAAAH+f/lE=")</f>
        <v>#REF!</v>
      </c>
      <c r="CE60" t="e">
        <f>AND(#REF!,"AAAAAH+f/lI=")</f>
        <v>#REF!</v>
      </c>
      <c r="CF60" t="e">
        <f>AND(#REF!,"AAAAAH+f/lM=")</f>
        <v>#REF!</v>
      </c>
      <c r="CG60" t="e">
        <f>AND(#REF!,"AAAAAH+f/lQ=")</f>
        <v>#REF!</v>
      </c>
      <c r="CH60" t="e">
        <f>AND(#REF!,"AAAAAH+f/lU=")</f>
        <v>#REF!</v>
      </c>
      <c r="CI60" t="e">
        <f>AND(#REF!,"AAAAAH+f/lY=")</f>
        <v>#REF!</v>
      </c>
      <c r="CJ60" t="e">
        <f>AND(#REF!,"AAAAAH+f/lc=")</f>
        <v>#REF!</v>
      </c>
      <c r="CK60" t="e">
        <f>IF(#REF!,"AAAAAH+f/lg=",0)</f>
        <v>#REF!</v>
      </c>
      <c r="CL60" t="e">
        <f>AND(#REF!,"AAAAAH+f/lk=")</f>
        <v>#REF!</v>
      </c>
      <c r="CM60" t="e">
        <f>AND(#REF!,"AAAAAH+f/lo=")</f>
        <v>#REF!</v>
      </c>
      <c r="CN60" t="e">
        <f>AND(#REF!,"AAAAAH+f/ls=")</f>
        <v>#REF!</v>
      </c>
      <c r="CO60" t="e">
        <f>AND(#REF!,"AAAAAH+f/lw=")</f>
        <v>#REF!</v>
      </c>
      <c r="CP60" t="e">
        <f>AND(#REF!,"AAAAAH+f/l0=")</f>
        <v>#REF!</v>
      </c>
      <c r="CQ60" t="e">
        <f>AND(#REF!,"AAAAAH+f/l4=")</f>
        <v>#REF!</v>
      </c>
      <c r="CR60" t="e">
        <f>AND(#REF!,"AAAAAH+f/l8=")</f>
        <v>#REF!</v>
      </c>
      <c r="CS60" t="e">
        <f>AND(#REF!,"AAAAAH+f/mA=")</f>
        <v>#REF!</v>
      </c>
      <c r="CT60" t="e">
        <f>AND(#REF!,"AAAAAH+f/mE=")</f>
        <v>#REF!</v>
      </c>
      <c r="CU60" t="e">
        <f>AND(#REF!,"AAAAAH+f/mI=")</f>
        <v>#REF!</v>
      </c>
      <c r="CV60" t="e">
        <f>AND(#REF!,"AAAAAH+f/mM=")</f>
        <v>#REF!</v>
      </c>
      <c r="CW60" t="e">
        <f>AND(#REF!,"AAAAAH+f/mQ=")</f>
        <v>#REF!</v>
      </c>
      <c r="CX60" t="e">
        <f>AND(#REF!,"AAAAAH+f/mU=")</f>
        <v>#REF!</v>
      </c>
      <c r="CY60" t="e">
        <f>AND(#REF!,"AAAAAH+f/mY=")</f>
        <v>#REF!</v>
      </c>
      <c r="CZ60" t="e">
        <f>AND(#REF!,"AAAAAH+f/mc=")</f>
        <v>#REF!</v>
      </c>
      <c r="DA60" t="e">
        <f>AND(#REF!,"AAAAAH+f/mg=")</f>
        <v>#REF!</v>
      </c>
      <c r="DB60" t="e">
        <f>AND(#REF!,"AAAAAH+f/mk=")</f>
        <v>#REF!</v>
      </c>
      <c r="DC60" t="e">
        <f>AND(#REF!,"AAAAAH+f/mo=")</f>
        <v>#REF!</v>
      </c>
      <c r="DD60" t="e">
        <f>AND(#REF!,"AAAAAH+f/ms=")</f>
        <v>#REF!</v>
      </c>
      <c r="DE60" t="e">
        <f>AND(#REF!,"AAAAAH+f/mw=")</f>
        <v>#REF!</v>
      </c>
      <c r="DF60" t="e">
        <f>AND(#REF!,"AAAAAH+f/m0=")</f>
        <v>#REF!</v>
      </c>
      <c r="DG60" t="e">
        <f>IF(#REF!,"AAAAAH+f/m4=",0)</f>
        <v>#REF!</v>
      </c>
      <c r="DH60" t="e">
        <f>AND(#REF!,"AAAAAH+f/m8=")</f>
        <v>#REF!</v>
      </c>
      <c r="DI60" t="e">
        <f>AND(#REF!,"AAAAAH+f/nA=")</f>
        <v>#REF!</v>
      </c>
      <c r="DJ60" t="e">
        <f>AND(#REF!,"AAAAAH+f/nE=")</f>
        <v>#REF!</v>
      </c>
      <c r="DK60" t="e">
        <f>AND(#REF!,"AAAAAH+f/nI=")</f>
        <v>#REF!</v>
      </c>
      <c r="DL60" t="e">
        <f>AND(#REF!,"AAAAAH+f/nM=")</f>
        <v>#REF!</v>
      </c>
      <c r="DM60" t="e">
        <f>AND(#REF!,"AAAAAH+f/nQ=")</f>
        <v>#REF!</v>
      </c>
      <c r="DN60" t="e">
        <f>AND(#REF!,"AAAAAH+f/nU=")</f>
        <v>#REF!</v>
      </c>
      <c r="DO60" t="e">
        <f>AND(#REF!,"AAAAAH+f/nY=")</f>
        <v>#REF!</v>
      </c>
      <c r="DP60" t="e">
        <f>AND(#REF!,"AAAAAH+f/nc=")</f>
        <v>#REF!</v>
      </c>
      <c r="DQ60" t="e">
        <f>AND(#REF!,"AAAAAH+f/ng=")</f>
        <v>#REF!</v>
      </c>
      <c r="DR60" t="e">
        <f>AND(#REF!,"AAAAAH+f/nk=")</f>
        <v>#REF!</v>
      </c>
      <c r="DS60" t="e">
        <f>AND(#REF!,"AAAAAH+f/no=")</f>
        <v>#REF!</v>
      </c>
      <c r="DT60" t="e">
        <f>AND(#REF!,"AAAAAH+f/ns=")</f>
        <v>#REF!</v>
      </c>
      <c r="DU60" t="e">
        <f>AND(#REF!,"AAAAAH+f/nw=")</f>
        <v>#REF!</v>
      </c>
      <c r="DV60" t="e">
        <f>AND(#REF!,"AAAAAH+f/n0=")</f>
        <v>#REF!</v>
      </c>
      <c r="DW60" t="e">
        <f>AND(#REF!,"AAAAAH+f/n4=")</f>
        <v>#REF!</v>
      </c>
      <c r="DX60" t="e">
        <f>AND(#REF!,"AAAAAH+f/n8=")</f>
        <v>#REF!</v>
      </c>
      <c r="DY60" t="e">
        <f>AND(#REF!,"AAAAAH+f/oA=")</f>
        <v>#REF!</v>
      </c>
      <c r="DZ60" t="e">
        <f>AND(#REF!,"AAAAAH+f/oE=")</f>
        <v>#REF!</v>
      </c>
      <c r="EA60" t="e">
        <f>AND(#REF!,"AAAAAH+f/oI=")</f>
        <v>#REF!</v>
      </c>
      <c r="EB60" t="e">
        <f>AND(#REF!,"AAAAAH+f/oM=")</f>
        <v>#REF!</v>
      </c>
      <c r="EC60" t="e">
        <f>IF(#REF!,"AAAAAH+f/oQ=",0)</f>
        <v>#REF!</v>
      </c>
      <c r="ED60" t="e">
        <f>AND(#REF!,"AAAAAH+f/oU=")</f>
        <v>#REF!</v>
      </c>
      <c r="EE60" t="e">
        <f>AND(#REF!,"AAAAAH+f/oY=")</f>
        <v>#REF!</v>
      </c>
      <c r="EF60" t="e">
        <f>AND(#REF!,"AAAAAH+f/oc=")</f>
        <v>#REF!</v>
      </c>
      <c r="EG60" t="e">
        <f>AND(#REF!,"AAAAAH+f/og=")</f>
        <v>#REF!</v>
      </c>
      <c r="EH60" t="e">
        <f>AND(#REF!,"AAAAAH+f/ok=")</f>
        <v>#REF!</v>
      </c>
      <c r="EI60" t="e">
        <f>AND(#REF!,"AAAAAH+f/oo=")</f>
        <v>#REF!</v>
      </c>
      <c r="EJ60" t="e">
        <f>AND(#REF!,"AAAAAH+f/os=")</f>
        <v>#REF!</v>
      </c>
      <c r="EK60" t="e">
        <f>AND(#REF!,"AAAAAH+f/ow=")</f>
        <v>#REF!</v>
      </c>
      <c r="EL60" t="e">
        <f>AND(#REF!,"AAAAAH+f/o0=")</f>
        <v>#REF!</v>
      </c>
      <c r="EM60" t="e">
        <f>AND(#REF!,"AAAAAH+f/o4=")</f>
        <v>#REF!</v>
      </c>
      <c r="EN60" t="e">
        <f>AND(#REF!,"AAAAAH+f/o8=")</f>
        <v>#REF!</v>
      </c>
      <c r="EO60" t="e">
        <f>AND(#REF!,"AAAAAH+f/pA=")</f>
        <v>#REF!</v>
      </c>
      <c r="EP60" t="e">
        <f>AND(#REF!,"AAAAAH+f/pE=")</f>
        <v>#REF!</v>
      </c>
      <c r="EQ60" t="e">
        <f>AND(#REF!,"AAAAAH+f/pI=")</f>
        <v>#REF!</v>
      </c>
      <c r="ER60" t="e">
        <f>AND(#REF!,"AAAAAH+f/pM=")</f>
        <v>#REF!</v>
      </c>
      <c r="ES60" t="e">
        <f>AND(#REF!,"AAAAAH+f/pQ=")</f>
        <v>#REF!</v>
      </c>
      <c r="ET60" t="e">
        <f>AND(#REF!,"AAAAAH+f/pU=")</f>
        <v>#REF!</v>
      </c>
      <c r="EU60" t="e">
        <f>AND(#REF!,"AAAAAH+f/pY=")</f>
        <v>#REF!</v>
      </c>
      <c r="EV60" t="e">
        <f>AND(#REF!,"AAAAAH+f/pc=")</f>
        <v>#REF!</v>
      </c>
      <c r="EW60" t="e">
        <f>AND(#REF!,"AAAAAH+f/pg=")</f>
        <v>#REF!</v>
      </c>
      <c r="EX60" t="e">
        <f>AND(#REF!,"AAAAAH+f/pk=")</f>
        <v>#REF!</v>
      </c>
      <c r="EY60" t="e">
        <f>IF(#REF!,"AAAAAH+f/po=",0)</f>
        <v>#REF!</v>
      </c>
      <c r="EZ60" t="e">
        <f>AND(#REF!,"AAAAAH+f/ps=")</f>
        <v>#REF!</v>
      </c>
      <c r="FA60" t="e">
        <f>AND(#REF!,"AAAAAH+f/pw=")</f>
        <v>#REF!</v>
      </c>
      <c r="FB60" t="e">
        <f>AND(#REF!,"AAAAAH+f/p0=")</f>
        <v>#REF!</v>
      </c>
      <c r="FC60" t="e">
        <f>AND(#REF!,"AAAAAH+f/p4=")</f>
        <v>#REF!</v>
      </c>
      <c r="FD60" t="e">
        <f>AND(#REF!,"AAAAAH+f/p8=")</f>
        <v>#REF!</v>
      </c>
      <c r="FE60" t="e">
        <f>AND(#REF!,"AAAAAH+f/qA=")</f>
        <v>#REF!</v>
      </c>
      <c r="FF60" t="e">
        <f>AND(#REF!,"AAAAAH+f/qE=")</f>
        <v>#REF!</v>
      </c>
      <c r="FG60" t="e">
        <f>AND(#REF!,"AAAAAH+f/qI=")</f>
        <v>#REF!</v>
      </c>
      <c r="FH60" t="e">
        <f>AND(#REF!,"AAAAAH+f/qM=")</f>
        <v>#REF!</v>
      </c>
      <c r="FI60" t="e">
        <f>AND(#REF!,"AAAAAH+f/qQ=")</f>
        <v>#REF!</v>
      </c>
      <c r="FJ60" t="e">
        <f>AND(#REF!,"AAAAAH+f/qU=")</f>
        <v>#REF!</v>
      </c>
      <c r="FK60" t="e">
        <f>AND(#REF!,"AAAAAH+f/qY=")</f>
        <v>#REF!</v>
      </c>
      <c r="FL60" t="e">
        <f>AND(#REF!,"AAAAAH+f/qc=")</f>
        <v>#REF!</v>
      </c>
      <c r="FM60" t="e">
        <f>AND(#REF!,"AAAAAH+f/qg=")</f>
        <v>#REF!</v>
      </c>
      <c r="FN60" t="e">
        <f>AND(#REF!,"AAAAAH+f/qk=")</f>
        <v>#REF!</v>
      </c>
      <c r="FO60" t="e">
        <f>AND(#REF!,"AAAAAH+f/qo=")</f>
        <v>#REF!</v>
      </c>
      <c r="FP60" t="e">
        <f>AND(#REF!,"AAAAAH+f/qs=")</f>
        <v>#REF!</v>
      </c>
      <c r="FQ60" t="e">
        <f>AND(#REF!,"AAAAAH+f/qw=")</f>
        <v>#REF!</v>
      </c>
      <c r="FR60" t="e">
        <f>AND(#REF!,"AAAAAH+f/q0=")</f>
        <v>#REF!</v>
      </c>
      <c r="FS60" t="e">
        <f>AND(#REF!,"AAAAAH+f/q4=")</f>
        <v>#REF!</v>
      </c>
      <c r="FT60" t="e">
        <f>AND(#REF!,"AAAAAH+f/q8=")</f>
        <v>#REF!</v>
      </c>
      <c r="FU60" t="e">
        <f>IF(#REF!,"AAAAAH+f/rA=",0)</f>
        <v>#REF!</v>
      </c>
      <c r="FV60" t="e">
        <f>AND(#REF!,"AAAAAH+f/rE=")</f>
        <v>#REF!</v>
      </c>
      <c r="FW60" t="e">
        <f>AND(#REF!,"AAAAAH+f/rI=")</f>
        <v>#REF!</v>
      </c>
      <c r="FX60" t="e">
        <f>AND(#REF!,"AAAAAH+f/rM=")</f>
        <v>#REF!</v>
      </c>
      <c r="FY60" t="e">
        <f>AND(#REF!,"AAAAAH+f/rQ=")</f>
        <v>#REF!</v>
      </c>
      <c r="FZ60" t="e">
        <f>AND(#REF!,"AAAAAH+f/rU=")</f>
        <v>#REF!</v>
      </c>
      <c r="GA60" t="e">
        <f>AND(#REF!,"AAAAAH+f/rY=")</f>
        <v>#REF!</v>
      </c>
      <c r="GB60" t="e">
        <f>AND(#REF!,"AAAAAH+f/rc=")</f>
        <v>#REF!</v>
      </c>
      <c r="GC60" t="e">
        <f>AND(#REF!,"AAAAAH+f/rg=")</f>
        <v>#REF!</v>
      </c>
      <c r="GD60" t="e">
        <f>AND(#REF!,"AAAAAH+f/rk=")</f>
        <v>#REF!</v>
      </c>
      <c r="GE60" t="e">
        <f>AND(#REF!,"AAAAAH+f/ro=")</f>
        <v>#REF!</v>
      </c>
      <c r="GF60" t="e">
        <f>AND(#REF!,"AAAAAH+f/rs=")</f>
        <v>#REF!</v>
      </c>
      <c r="GG60" t="e">
        <f>AND(#REF!,"AAAAAH+f/rw=")</f>
        <v>#REF!</v>
      </c>
      <c r="GH60" t="e">
        <f>AND(#REF!,"AAAAAH+f/r0=")</f>
        <v>#REF!</v>
      </c>
      <c r="GI60" t="e">
        <f>AND(#REF!,"AAAAAH+f/r4=")</f>
        <v>#REF!</v>
      </c>
      <c r="GJ60" t="e">
        <f>AND(#REF!,"AAAAAH+f/r8=")</f>
        <v>#REF!</v>
      </c>
      <c r="GK60" t="e">
        <f>AND(#REF!,"AAAAAH+f/sA=")</f>
        <v>#REF!</v>
      </c>
      <c r="GL60" t="e">
        <f>AND(#REF!,"AAAAAH+f/sE=")</f>
        <v>#REF!</v>
      </c>
      <c r="GM60" t="e">
        <f>AND(#REF!,"AAAAAH+f/sI=")</f>
        <v>#REF!</v>
      </c>
      <c r="GN60" t="e">
        <f>AND(#REF!,"AAAAAH+f/sM=")</f>
        <v>#REF!</v>
      </c>
      <c r="GO60" t="e">
        <f>AND(#REF!,"AAAAAH+f/sQ=")</f>
        <v>#REF!</v>
      </c>
      <c r="GP60" t="e">
        <f>AND(#REF!,"AAAAAH+f/sU=")</f>
        <v>#REF!</v>
      </c>
      <c r="GQ60" t="e">
        <f>IF(#REF!,"AAAAAH+f/sY=",0)</f>
        <v>#REF!</v>
      </c>
      <c r="GR60" t="e">
        <f>AND(#REF!,"AAAAAH+f/sc=")</f>
        <v>#REF!</v>
      </c>
      <c r="GS60" t="e">
        <f>AND(#REF!,"AAAAAH+f/sg=")</f>
        <v>#REF!</v>
      </c>
      <c r="GT60" t="e">
        <f>AND(#REF!,"AAAAAH+f/sk=")</f>
        <v>#REF!</v>
      </c>
      <c r="GU60" t="e">
        <f>AND(#REF!,"AAAAAH+f/so=")</f>
        <v>#REF!</v>
      </c>
      <c r="GV60" t="e">
        <f>AND(#REF!,"AAAAAH+f/ss=")</f>
        <v>#REF!</v>
      </c>
      <c r="GW60" t="e">
        <f>AND(#REF!,"AAAAAH+f/sw=")</f>
        <v>#REF!</v>
      </c>
      <c r="GX60" t="e">
        <f>AND(#REF!,"AAAAAH+f/s0=")</f>
        <v>#REF!</v>
      </c>
      <c r="GY60" t="e">
        <f>AND(#REF!,"AAAAAH+f/s4=")</f>
        <v>#REF!</v>
      </c>
      <c r="GZ60" t="e">
        <f>AND(#REF!,"AAAAAH+f/s8=")</f>
        <v>#REF!</v>
      </c>
      <c r="HA60" t="e">
        <f>AND(#REF!,"AAAAAH+f/tA=")</f>
        <v>#REF!</v>
      </c>
      <c r="HB60" t="e">
        <f>AND(#REF!,"AAAAAH+f/tE=")</f>
        <v>#REF!</v>
      </c>
      <c r="HC60" t="e">
        <f>AND(#REF!,"AAAAAH+f/tI=")</f>
        <v>#REF!</v>
      </c>
      <c r="HD60" t="e">
        <f>AND(#REF!,"AAAAAH+f/tM=")</f>
        <v>#REF!</v>
      </c>
      <c r="HE60" t="e">
        <f>AND(#REF!,"AAAAAH+f/tQ=")</f>
        <v>#REF!</v>
      </c>
      <c r="HF60" t="e">
        <f>AND(#REF!,"AAAAAH+f/tU=")</f>
        <v>#REF!</v>
      </c>
      <c r="HG60" t="e">
        <f>AND(#REF!,"AAAAAH+f/tY=")</f>
        <v>#REF!</v>
      </c>
      <c r="HH60" t="e">
        <f>AND(#REF!,"AAAAAH+f/tc=")</f>
        <v>#REF!</v>
      </c>
      <c r="HI60" t="e">
        <f>AND(#REF!,"AAAAAH+f/tg=")</f>
        <v>#REF!</v>
      </c>
      <c r="HJ60" t="e">
        <f>AND(#REF!,"AAAAAH+f/tk=")</f>
        <v>#REF!</v>
      </c>
      <c r="HK60" t="e">
        <f>AND(#REF!,"AAAAAH+f/to=")</f>
        <v>#REF!</v>
      </c>
      <c r="HL60" t="e">
        <f>AND(#REF!,"AAAAAH+f/ts=")</f>
        <v>#REF!</v>
      </c>
      <c r="HM60" t="s">
        <v>51</v>
      </c>
      <c r="HN60" t="e">
        <f>IF("N",[0]!_xlnm.Print_Area,"AAAAAH+f/t0=")</f>
        <v>#VALUE!</v>
      </c>
      <c r="HO60" t="e">
        <f>IF("N",[0]!_xlnm.Print_Area,"AAAAAH+f/t4=")</f>
        <v>#VALUE!</v>
      </c>
      <c r="HP60" t="e">
        <f>IF("N",_xlnm.Print_Area,"AAAAAH+f/t8=")</f>
        <v>#VALUE!</v>
      </c>
    </row>
    <row r="61" spans="1:256">
      <c r="A61" t="e">
        <f>IF(#REF!,"AAAAAH/8vwA=",0)</f>
        <v>#REF!</v>
      </c>
      <c r="B61" t="e">
        <f>AND(#REF!,"AAAAAH/8vwE=")</f>
        <v>#REF!</v>
      </c>
      <c r="C61" t="e">
        <f>AND(#REF!,"AAAAAH/8vwI=")</f>
        <v>#REF!</v>
      </c>
      <c r="D61" t="e">
        <f>AND(#REF!,"AAAAAH/8vwM=")</f>
        <v>#REF!</v>
      </c>
      <c r="E61" t="e">
        <f>AND(#REF!,"AAAAAH/8vwQ=")</f>
        <v>#REF!</v>
      </c>
      <c r="F61" t="e">
        <f>AND(#REF!,"AAAAAH/8vwU=")</f>
        <v>#REF!</v>
      </c>
      <c r="G61" t="e">
        <f>AND(#REF!,"AAAAAH/8vwY=")</f>
        <v>#REF!</v>
      </c>
      <c r="H61" t="e">
        <f>AND(#REF!,"AAAAAH/8vwc=")</f>
        <v>#REF!</v>
      </c>
      <c r="I61" t="e">
        <f>AND(#REF!,"AAAAAH/8vwg=")</f>
        <v>#REF!</v>
      </c>
      <c r="J61" t="e">
        <f>AND(#REF!,"AAAAAH/8vwk=")</f>
        <v>#REF!</v>
      </c>
      <c r="K61" t="e">
        <f>AND(#REF!,"AAAAAH/8vwo=")</f>
        <v>#REF!</v>
      </c>
      <c r="L61" t="e">
        <f>AND(#REF!,"AAAAAH/8vws=")</f>
        <v>#REF!</v>
      </c>
      <c r="M61" t="e">
        <f>AND(#REF!,"AAAAAH/8vww=")</f>
        <v>#REF!</v>
      </c>
      <c r="N61" t="e">
        <f>AND(#REF!,"AAAAAH/8vw0=")</f>
        <v>#REF!</v>
      </c>
      <c r="O61" t="e">
        <f>AND(#REF!,"AAAAAH/8vw4=")</f>
        <v>#REF!</v>
      </c>
      <c r="P61" t="e">
        <f>AND(#REF!,"AAAAAH/8vw8=")</f>
        <v>#REF!</v>
      </c>
      <c r="Q61" t="e">
        <f>AND(#REF!,"AAAAAH/8vxA=")</f>
        <v>#REF!</v>
      </c>
      <c r="R61" t="e">
        <f>AND(#REF!,"AAAAAH/8vxE=")</f>
        <v>#REF!</v>
      </c>
      <c r="S61" t="e">
        <f>AND(#REF!,"AAAAAH/8vxI=")</f>
        <v>#REF!</v>
      </c>
      <c r="T61" t="e">
        <f>AND(#REF!,"AAAAAH/8vxM=")</f>
        <v>#REF!</v>
      </c>
      <c r="U61" t="e">
        <f>AND(#REF!,"AAAAAH/8vxQ=")</f>
        <v>#REF!</v>
      </c>
      <c r="V61" t="e">
        <f>AND(#REF!,"AAAAAH/8vxU=")</f>
        <v>#REF!</v>
      </c>
      <c r="W61" t="s">
        <v>52</v>
      </c>
      <c r="X61" t="e">
        <f>IF("N",[0]!_xlnm.Print_Area,"AAAAAH/8vxc=")</f>
        <v>#VALUE!</v>
      </c>
      <c r="Y61" t="e">
        <f>IF("N",[0]!_xlnm.Print_Area,"AAAAAH/8vxg=")</f>
        <v>#VALUE!</v>
      </c>
      <c r="Z61" t="e">
        <f>IF("N",_xlnm.Print_Area,"AAAAAH/8vxk=")</f>
        <v>#VALUE!</v>
      </c>
    </row>
    <row r="62" spans="1:256">
      <c r="A62" t="e">
        <f>AND(#REF!,"AAAAACt3gwA=")</f>
        <v>#REF!</v>
      </c>
      <c r="B62" t="e">
        <f>AND(#REF!,"AAAAACt3gwE=")</f>
        <v>#REF!</v>
      </c>
      <c r="C62" t="e">
        <f>AND(#REF!,"AAAAACt3gwI=")</f>
        <v>#REF!</v>
      </c>
      <c r="D62" t="e">
        <f>AND(#REF!,"AAAAACt3gwM=")</f>
        <v>#REF!</v>
      </c>
      <c r="E62" t="e">
        <f>AND(#REF!,"AAAAACt3gwQ=")</f>
        <v>#REF!</v>
      </c>
      <c r="F62" t="e">
        <f>AND(#REF!,"AAAAACt3gwU=")</f>
        <v>#REF!</v>
      </c>
      <c r="G62" t="e">
        <f>AND(#REF!,"AAAAACt3gwY=")</f>
        <v>#REF!</v>
      </c>
      <c r="H62" t="e">
        <f>AND(#REF!,"AAAAACt3gwc=")</f>
        <v>#REF!</v>
      </c>
      <c r="I62" t="e">
        <f>AND(#REF!,"AAAAACt3gwg=")</f>
        <v>#REF!</v>
      </c>
      <c r="J62" t="e">
        <f>AND(#REF!,"AAAAACt3gwk=")</f>
        <v>#REF!</v>
      </c>
      <c r="K62" t="e">
        <f>IF(#REF!,"AAAAACt3gwo=",0)</f>
        <v>#REF!</v>
      </c>
      <c r="L62" t="e">
        <f>AND(#REF!,"AAAAACt3gws=")</f>
        <v>#REF!</v>
      </c>
      <c r="M62" t="e">
        <f>AND(#REF!,"AAAAACt3gww=")</f>
        <v>#REF!</v>
      </c>
      <c r="N62" t="e">
        <f>AND(#REF!,"AAAAACt3gw0=")</f>
        <v>#REF!</v>
      </c>
      <c r="O62" t="e">
        <f>AND(#REF!,"AAAAACt3gw4=")</f>
        <v>#REF!</v>
      </c>
      <c r="P62" t="e">
        <f>AND(#REF!,"AAAAACt3gw8=")</f>
        <v>#REF!</v>
      </c>
      <c r="Q62" t="e">
        <f>AND(#REF!,"AAAAACt3gxA=")</f>
        <v>#REF!</v>
      </c>
      <c r="R62" t="e">
        <f>AND(#REF!,"AAAAACt3gxE=")</f>
        <v>#REF!</v>
      </c>
      <c r="S62" t="e">
        <f>AND(#REF!,"AAAAACt3gxI=")</f>
        <v>#REF!</v>
      </c>
      <c r="T62" t="e">
        <f>AND(#REF!,"AAAAACt3gxM=")</f>
        <v>#REF!</v>
      </c>
      <c r="U62" t="e">
        <f>AND(#REF!,"AAAAACt3gxQ=")</f>
        <v>#REF!</v>
      </c>
      <c r="V62" t="e">
        <f>AND(#REF!,"AAAAACt3gxU=")</f>
        <v>#REF!</v>
      </c>
      <c r="W62" t="e">
        <f>IF(#REF!,"AAAAACt3gxY=",0)</f>
        <v>#REF!</v>
      </c>
      <c r="X62" t="e">
        <f>AND(#REF!,"AAAAACt3gxc=")</f>
        <v>#REF!</v>
      </c>
      <c r="Y62" t="e">
        <f>AND(#REF!,"AAAAACt3gxg=")</f>
        <v>#REF!</v>
      </c>
      <c r="Z62" t="e">
        <f>AND(#REF!,"AAAAACt3gxk=")</f>
        <v>#REF!</v>
      </c>
      <c r="AA62" t="e">
        <f>AND(#REF!,"AAAAACt3gxo=")</f>
        <v>#REF!</v>
      </c>
      <c r="AB62" t="e">
        <f>AND(#REF!,"AAAAACt3gxs=")</f>
        <v>#REF!</v>
      </c>
      <c r="AC62" t="e">
        <f>AND(#REF!,"AAAAACt3gxw=")</f>
        <v>#REF!</v>
      </c>
      <c r="AD62" t="e">
        <f>AND(#REF!,"AAAAACt3gx0=")</f>
        <v>#REF!</v>
      </c>
      <c r="AE62" t="e">
        <f>AND(#REF!,"AAAAACt3gx4=")</f>
        <v>#REF!</v>
      </c>
      <c r="AF62" t="e">
        <f>AND(#REF!,"AAAAACt3gx8=")</f>
        <v>#REF!</v>
      </c>
      <c r="AG62" t="e">
        <f>AND(#REF!,"AAAAACt3gyA=")</f>
        <v>#REF!</v>
      </c>
      <c r="AH62" t="e">
        <f>AND(#REF!,"AAAAACt3gyE=")</f>
        <v>#REF!</v>
      </c>
      <c r="AI62" t="e">
        <f>AND(#REF!,"AAAAACt3gyI=")</f>
        <v>#REF!</v>
      </c>
      <c r="AJ62" t="e">
        <f>AND(#REF!,"AAAAACt3gyM=")</f>
        <v>#REF!</v>
      </c>
      <c r="AK62" t="e">
        <f>AND(#REF!,"AAAAACt3gyQ=")</f>
        <v>#REF!</v>
      </c>
      <c r="AL62" t="e">
        <f>AND(#REF!,"AAAAACt3gyU=")</f>
        <v>#REF!</v>
      </c>
      <c r="AM62" t="e">
        <f>AND(#REF!,"AAAAACt3gyY=")</f>
        <v>#REF!</v>
      </c>
      <c r="AN62" t="e">
        <f>AND(#REF!,"AAAAACt3gyc=")</f>
        <v>#REF!</v>
      </c>
      <c r="AO62" t="e">
        <f>AND(#REF!,"AAAAACt3gyg=")</f>
        <v>#REF!</v>
      </c>
      <c r="AP62" t="e">
        <f>AND(#REF!,"AAAAACt3gyk=")</f>
        <v>#REF!</v>
      </c>
      <c r="AQ62" t="e">
        <f>AND(#REF!,"AAAAACt3gyo=")</f>
        <v>#REF!</v>
      </c>
      <c r="AR62" t="e">
        <f>AND(#REF!,"AAAAACt3gys=")</f>
        <v>#REF!</v>
      </c>
      <c r="AS62" t="e">
        <f>IF(#REF!,"AAAAACt3gyw=",0)</f>
        <v>#REF!</v>
      </c>
      <c r="AT62" t="e">
        <f>AND(#REF!,"AAAAACt3gy0=")</f>
        <v>#REF!</v>
      </c>
      <c r="AU62" t="e">
        <f>AND(#REF!,"AAAAACt3gy4=")</f>
        <v>#REF!</v>
      </c>
      <c r="AV62" t="e">
        <f>AND(#REF!,"AAAAACt3gy8=")</f>
        <v>#REF!</v>
      </c>
      <c r="AW62" t="e">
        <f>AND(#REF!,"AAAAACt3gzA=")</f>
        <v>#REF!</v>
      </c>
      <c r="AX62" t="e">
        <f>AND(#REF!,"AAAAACt3gzE=")</f>
        <v>#REF!</v>
      </c>
      <c r="AY62" t="e">
        <f>AND(#REF!,"AAAAACt3gzI=")</f>
        <v>#REF!</v>
      </c>
      <c r="AZ62" t="e">
        <f>AND(#REF!,"AAAAACt3gzM=")</f>
        <v>#REF!</v>
      </c>
      <c r="BA62" t="e">
        <f>AND(#REF!,"AAAAACt3gzQ=")</f>
        <v>#REF!</v>
      </c>
      <c r="BB62" t="e">
        <f>AND(#REF!,"AAAAACt3gzU=")</f>
        <v>#REF!</v>
      </c>
      <c r="BC62" t="e">
        <f>AND(#REF!,"AAAAACt3gzY=")</f>
        <v>#REF!</v>
      </c>
      <c r="BD62" t="e">
        <f>AND(#REF!,"AAAAACt3gzc=")</f>
        <v>#REF!</v>
      </c>
      <c r="BE62" t="e">
        <f>AND(#REF!,"AAAAACt3gzg=")</f>
        <v>#REF!</v>
      </c>
      <c r="BF62" t="e">
        <f>AND(#REF!,"AAAAACt3gzk=")</f>
        <v>#REF!</v>
      </c>
      <c r="BG62" t="e">
        <f>AND(#REF!,"AAAAACt3gzo=")</f>
        <v>#REF!</v>
      </c>
      <c r="BH62" t="e">
        <f>AND(#REF!,"AAAAACt3gzs=")</f>
        <v>#REF!</v>
      </c>
      <c r="BI62" t="e">
        <f>AND(#REF!,"AAAAACt3gzw=")</f>
        <v>#REF!</v>
      </c>
      <c r="BJ62" t="e">
        <f>AND(#REF!,"AAAAACt3gz0=")</f>
        <v>#REF!</v>
      </c>
      <c r="BK62" t="e">
        <f>AND(#REF!,"AAAAACt3gz4=")</f>
        <v>#REF!</v>
      </c>
      <c r="BL62" t="e">
        <f>AND(#REF!,"AAAAACt3gz8=")</f>
        <v>#REF!</v>
      </c>
      <c r="BM62" t="e">
        <f>AND(#REF!,"AAAAACt3g0A=")</f>
        <v>#REF!</v>
      </c>
      <c r="BN62" t="e">
        <f>AND(#REF!,"AAAAACt3g0E=")</f>
        <v>#REF!</v>
      </c>
      <c r="BO62" t="s">
        <v>54</v>
      </c>
      <c r="BP62" t="e">
        <f>IF("N",[0]!_xlnm.Print_Area,"AAAAACt3g0M=")</f>
        <v>#VALUE!</v>
      </c>
      <c r="BQ62" t="e">
        <f>IF("N",[0]!_xlnm.Print_Area,"AAAAACt3g0Q=")</f>
        <v>#VALUE!</v>
      </c>
      <c r="BR62" t="e">
        <f>IF("N",_xlnm.Print_Area,"AAAAACt3g0U=")</f>
        <v>#VALUE!</v>
      </c>
    </row>
    <row r="63" spans="1:256">
      <c r="A63" t="e">
        <f>AND(#REF!,"AAAAAH3H2wA=")</f>
        <v>#REF!</v>
      </c>
      <c r="B63" t="e">
        <f>AND(#REF!,"AAAAAH3H2wE=")</f>
        <v>#REF!</v>
      </c>
      <c r="C63" t="e">
        <f>AND(#REF!,"AAAAAH3H2wI=")</f>
        <v>#REF!</v>
      </c>
      <c r="D63" t="e">
        <f>AND(#REF!,"AAAAAH3H2wM=")</f>
        <v>#REF!</v>
      </c>
      <c r="E63" t="e">
        <f>AND(#REF!,"AAAAAH3H2wQ=")</f>
        <v>#REF!</v>
      </c>
      <c r="F63" t="e">
        <f>AND(#REF!,"AAAAAH3H2wU=")</f>
        <v>#REF!</v>
      </c>
      <c r="G63" t="e">
        <f>AND(#REF!,"AAAAAH3H2wY=")</f>
        <v>#REF!</v>
      </c>
      <c r="H63" t="e">
        <f>AND(#REF!,"AAAAAH3H2wc=")</f>
        <v>#REF!</v>
      </c>
      <c r="I63" t="e">
        <f>AND(#REF!,"AAAAAH3H2wg=")</f>
        <v>#REF!</v>
      </c>
      <c r="J63" t="e">
        <f>AND(#REF!,"AAAAAH3H2wk=")</f>
        <v>#REF!</v>
      </c>
      <c r="K63" t="e">
        <f>IF(#REF!,"AAAAAH3H2wo=",0)</f>
        <v>#REF!</v>
      </c>
      <c r="L63" t="e">
        <f>AND(#REF!,"AAAAAH3H2ws=")</f>
        <v>#REF!</v>
      </c>
      <c r="M63" t="e">
        <f>AND(#REF!,"AAAAAH3H2ww=")</f>
        <v>#REF!</v>
      </c>
      <c r="N63" t="e">
        <f>AND(#REF!,"AAAAAH3H2w0=")</f>
        <v>#REF!</v>
      </c>
      <c r="O63" t="e">
        <f>AND(#REF!,"AAAAAH3H2w4=")</f>
        <v>#REF!</v>
      </c>
      <c r="P63" t="s">
        <v>55</v>
      </c>
      <c r="Q63" t="e">
        <f>IF("N",[0]!_xlnm.Print_Area,"AAAAAH3H2xA=")</f>
        <v>#VALUE!</v>
      </c>
      <c r="R63" t="e">
        <f>IF("N",[0]!_xlnm.Print_Area,"AAAAAH3H2xE=")</f>
        <v>#VALUE!</v>
      </c>
      <c r="S63" t="e">
        <f>IF("N",_xlnm.Print_Area,"AAAAAH3H2xI=")</f>
        <v>#VALUE!</v>
      </c>
    </row>
    <row r="64" spans="1:256">
      <c r="A64" t="e">
        <f>AND(#REF!,"AAAAAH/y2gA=")</f>
        <v>#REF!</v>
      </c>
      <c r="B64" t="e">
        <f>AND(#REF!,"AAAAAH/y2gE=")</f>
        <v>#REF!</v>
      </c>
      <c r="C64" t="e">
        <f>AND(#REF!,"AAAAAH/y2gI=")</f>
        <v>#REF!</v>
      </c>
      <c r="D64" t="e">
        <f>AND(#REF!,"AAAAAH/y2gM=")</f>
        <v>#REF!</v>
      </c>
      <c r="E64" t="e">
        <f>AND(#REF!,"AAAAAH/y2gQ=")</f>
        <v>#REF!</v>
      </c>
      <c r="F64" t="e">
        <f>IF(#REF!,"AAAAAH/y2gU=",0)</f>
        <v>#REF!</v>
      </c>
      <c r="G64" t="e">
        <f>AND(#REF!,"AAAAAH/y2gY=")</f>
        <v>#REF!</v>
      </c>
      <c r="H64" t="e">
        <f>AND(#REF!,"AAAAAH/y2gc=")</f>
        <v>#REF!</v>
      </c>
      <c r="I64" t="e">
        <f>AND(#REF!,"AAAAAH/y2gg=")</f>
        <v>#REF!</v>
      </c>
      <c r="J64" t="e">
        <f>AND(#REF!,"AAAAAH/y2gk=")</f>
        <v>#REF!</v>
      </c>
      <c r="K64" t="e">
        <f>AND(#REF!,"AAAAAH/y2go=")</f>
        <v>#REF!</v>
      </c>
      <c r="L64" t="e">
        <f>AND(#REF!,"AAAAAH/y2gs=")</f>
        <v>#REF!</v>
      </c>
      <c r="M64" t="e">
        <f>AND(#REF!,"AAAAAH/y2gw=")</f>
        <v>#REF!</v>
      </c>
      <c r="N64" t="e">
        <f>AND(#REF!,"AAAAAH/y2g0=")</f>
        <v>#REF!</v>
      </c>
      <c r="O64" t="e">
        <f>AND(#REF!,"AAAAAH/y2g4=")</f>
        <v>#REF!</v>
      </c>
      <c r="P64" t="e">
        <f>AND(#REF!,"AAAAAH/y2g8=")</f>
        <v>#REF!</v>
      </c>
      <c r="Q64" t="s">
        <v>56</v>
      </c>
      <c r="R64" t="e">
        <f>IF("N",[0]!_xlnm.Print_Area,"AAAAAH/y2hE=")</f>
        <v>#VALUE!</v>
      </c>
      <c r="S64" t="e">
        <f>IF("N",[0]!_xlnm.Print_Area,"AAAAAH/y2hI=")</f>
        <v>#VALUE!</v>
      </c>
      <c r="T64" t="e">
        <f>IF("N",_xlnm.Print_Area,"AAAAAH/y2hM=")</f>
        <v>#VALUE!</v>
      </c>
    </row>
  </sheetData>
  <phoneticPr fontId="1" type="noConversion"/>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32398-82DE-489C-9722-268652B3CD33}">
  <sheetPr>
    <pageSetUpPr fitToPage="1"/>
  </sheetPr>
  <dimension ref="A1:Q674"/>
  <sheetViews>
    <sheetView topLeftCell="A37" zoomScaleNormal="100" zoomScaleSheetLayoutView="90" workbookViewId="0">
      <selection activeCell="R41" sqref="R41"/>
    </sheetView>
  </sheetViews>
  <sheetFormatPr defaultColWidth="8.625" defaultRowHeight="12.75"/>
  <cols>
    <col min="1" max="1" width="50.25" style="1" customWidth="1"/>
    <col min="2" max="2" width="12.625" style="3" customWidth="1"/>
    <col min="3" max="3" width="9.875" style="3" customWidth="1"/>
    <col min="4" max="5" width="9.875" style="1" customWidth="1"/>
    <col min="6" max="6" width="9.875" style="8" customWidth="1"/>
    <col min="7" max="9" width="11.625" style="8" customWidth="1"/>
    <col min="10" max="11" width="11.625" style="1" customWidth="1"/>
    <col min="12" max="13" width="9.875" style="1" hidden="1" customWidth="1"/>
    <col min="14" max="14" width="3.625" style="1" hidden="1" customWidth="1"/>
    <col min="15" max="17" width="4.875" style="1" hidden="1" customWidth="1"/>
    <col min="18" max="16384" width="8.625" style="1"/>
  </cols>
  <sheetData>
    <row r="1" spans="1:9" ht="21">
      <c r="A1" s="9" t="s">
        <v>533</v>
      </c>
      <c r="B1" s="41"/>
      <c r="C1" s="41"/>
      <c r="D1" s="41"/>
      <c r="E1" s="41"/>
      <c r="F1" s="41"/>
      <c r="G1" s="3"/>
      <c r="H1" s="3"/>
      <c r="I1" s="3"/>
    </row>
    <row r="2" spans="1:9" ht="15.75">
      <c r="A2" s="12" t="s">
        <v>534</v>
      </c>
      <c r="B2" s="43"/>
      <c r="C2" s="12"/>
      <c r="D2" s="12"/>
      <c r="E2" s="12"/>
      <c r="F2" s="12"/>
      <c r="G2" s="3"/>
      <c r="H2" s="3"/>
      <c r="I2" s="3"/>
    </row>
    <row r="3" spans="1:9" ht="15.75">
      <c r="A3" s="386" t="s">
        <v>3</v>
      </c>
      <c r="B3" s="393" t="s">
        <v>57</v>
      </c>
      <c r="C3" s="422" t="s">
        <v>284</v>
      </c>
      <c r="D3" s="45" t="s">
        <v>285</v>
      </c>
      <c r="E3" s="391" t="s">
        <v>552</v>
      </c>
      <c r="F3" s="45" t="s">
        <v>287</v>
      </c>
      <c r="G3" s="3"/>
      <c r="H3" s="3"/>
      <c r="I3" s="3"/>
    </row>
    <row r="4" spans="1:9" ht="15.75">
      <c r="A4" s="387"/>
      <c r="B4" s="396"/>
      <c r="C4" s="423"/>
      <c r="D4" s="44" t="s">
        <v>291</v>
      </c>
      <c r="E4" s="392"/>
      <c r="F4" s="44" t="s">
        <v>553</v>
      </c>
      <c r="G4" s="3"/>
      <c r="H4" s="3"/>
      <c r="I4" s="3"/>
    </row>
    <row r="5" spans="1:9" ht="15.75">
      <c r="A5" s="52" t="s">
        <v>535</v>
      </c>
      <c r="B5" s="53"/>
      <c r="C5" s="54"/>
      <c r="D5" s="54"/>
      <c r="E5" s="54"/>
      <c r="F5" s="54"/>
      <c r="G5" s="3"/>
      <c r="H5" s="3"/>
      <c r="I5" s="3"/>
    </row>
    <row r="6" spans="1:9" ht="15.75">
      <c r="A6" s="15" t="s">
        <v>536</v>
      </c>
      <c r="B6" s="258">
        <v>2014</v>
      </c>
      <c r="C6" s="17">
        <v>2400</v>
      </c>
      <c r="D6" s="16">
        <v>2700</v>
      </c>
      <c r="E6" s="17">
        <v>3500</v>
      </c>
      <c r="F6" s="16">
        <v>3100</v>
      </c>
      <c r="G6" s="1"/>
      <c r="H6" s="3"/>
      <c r="I6" s="3"/>
    </row>
    <row r="7" spans="1:9" ht="15.75">
      <c r="A7" s="33" t="s">
        <v>537</v>
      </c>
      <c r="B7" s="258">
        <v>2014</v>
      </c>
      <c r="C7" s="17">
        <v>2000</v>
      </c>
      <c r="D7" s="16">
        <v>2300</v>
      </c>
      <c r="E7" s="17">
        <v>2900</v>
      </c>
      <c r="F7" s="16">
        <v>2600</v>
      </c>
      <c r="G7" s="1"/>
      <c r="H7" s="3"/>
      <c r="I7" s="3"/>
    </row>
    <row r="8" spans="1:9" ht="15.75">
      <c r="A8" s="33" t="s">
        <v>538</v>
      </c>
      <c r="B8" s="258">
        <v>2014</v>
      </c>
      <c r="C8" s="17">
        <v>1200</v>
      </c>
      <c r="D8" s="16">
        <v>1400</v>
      </c>
      <c r="E8" s="17">
        <v>1800</v>
      </c>
      <c r="F8" s="16">
        <v>1600</v>
      </c>
      <c r="G8" s="1"/>
      <c r="H8" s="3"/>
      <c r="I8" s="3"/>
    </row>
    <row r="9" spans="1:9" ht="15.75">
      <c r="A9" s="13" t="s">
        <v>539</v>
      </c>
      <c r="B9" s="46"/>
      <c r="C9" s="12"/>
      <c r="D9" s="12"/>
      <c r="E9" s="12"/>
      <c r="F9" s="12"/>
      <c r="G9" s="1"/>
      <c r="H9" s="3"/>
      <c r="I9" s="3"/>
    </row>
    <row r="10" spans="1:9" ht="15.75">
      <c r="A10" s="15" t="s">
        <v>540</v>
      </c>
      <c r="B10" s="258">
        <v>2014</v>
      </c>
      <c r="C10" s="17">
        <v>1900</v>
      </c>
      <c r="D10" s="16">
        <v>2100</v>
      </c>
      <c r="E10" s="17">
        <v>2700</v>
      </c>
      <c r="F10" s="16">
        <v>2450</v>
      </c>
      <c r="G10" s="1"/>
      <c r="H10" s="3"/>
      <c r="I10" s="3"/>
    </row>
    <row r="11" spans="1:9" ht="15.75">
      <c r="A11" s="52" t="s">
        <v>541</v>
      </c>
      <c r="B11" s="59"/>
      <c r="C11" s="59"/>
      <c r="D11" s="59"/>
      <c r="E11" s="59"/>
      <c r="F11" s="59"/>
      <c r="G11" s="1"/>
      <c r="H11" s="3"/>
      <c r="I11" s="3"/>
    </row>
    <row r="12" spans="1:9" ht="15.75">
      <c r="A12" s="15" t="s">
        <v>542</v>
      </c>
      <c r="B12" s="258">
        <v>2014</v>
      </c>
      <c r="C12" s="17">
        <v>2300</v>
      </c>
      <c r="D12" s="16">
        <v>2500</v>
      </c>
      <c r="E12" s="17">
        <v>3300</v>
      </c>
      <c r="F12" s="16">
        <v>2900</v>
      </c>
      <c r="G12" s="3"/>
      <c r="H12" s="3"/>
      <c r="I12" s="3"/>
    </row>
    <row r="13" spans="1:9" ht="15.75">
      <c r="A13" s="15" t="s">
        <v>543</v>
      </c>
      <c r="B13" s="258">
        <v>2014</v>
      </c>
      <c r="C13" s="17">
        <v>1900</v>
      </c>
      <c r="D13" s="16">
        <v>2100</v>
      </c>
      <c r="E13" s="17">
        <v>2700</v>
      </c>
      <c r="F13" s="16">
        <v>2450</v>
      </c>
      <c r="G13" s="3"/>
      <c r="H13" s="3"/>
      <c r="I13" s="3"/>
    </row>
    <row r="14" spans="1:9" ht="15.75">
      <c r="A14" s="13" t="s">
        <v>4</v>
      </c>
      <c r="B14" s="46"/>
      <c r="C14" s="47"/>
      <c r="D14" s="47"/>
      <c r="E14" s="47"/>
      <c r="F14" s="47"/>
      <c r="G14" s="3"/>
      <c r="H14" s="3"/>
      <c r="I14" s="3"/>
    </row>
    <row r="15" spans="1:9" ht="15.75">
      <c r="A15" s="33" t="s">
        <v>544</v>
      </c>
      <c r="B15" s="58" t="s">
        <v>341</v>
      </c>
      <c r="C15" s="17">
        <v>1800</v>
      </c>
      <c r="D15" s="16">
        <v>2000</v>
      </c>
      <c r="E15" s="17">
        <v>2300</v>
      </c>
      <c r="F15" s="16">
        <v>2100</v>
      </c>
      <c r="G15" s="3"/>
      <c r="H15" s="3"/>
      <c r="I15" s="3"/>
    </row>
    <row r="16" spans="1:9" ht="15.75">
      <c r="A16" s="70" t="s">
        <v>59</v>
      </c>
      <c r="B16" s="103"/>
      <c r="C16" s="262"/>
      <c r="D16" s="262"/>
      <c r="E16" s="69"/>
      <c r="F16" s="69"/>
      <c r="G16" s="3"/>
      <c r="H16" s="3"/>
      <c r="I16" s="3"/>
    </row>
    <row r="17" spans="1:9" ht="15.75">
      <c r="A17" s="70"/>
      <c r="B17" s="103"/>
      <c r="C17" s="262"/>
      <c r="D17" s="262"/>
      <c r="E17" s="69"/>
      <c r="F17" s="69"/>
      <c r="G17" s="3"/>
      <c r="H17" s="3"/>
      <c r="I17" s="3"/>
    </row>
    <row r="18" spans="1:9" ht="21">
      <c r="A18" s="9" t="s">
        <v>545</v>
      </c>
      <c r="B18" s="41"/>
      <c r="C18" s="41"/>
      <c r="D18" s="41"/>
      <c r="E18" s="41"/>
      <c r="F18" s="41"/>
      <c r="G18" s="3"/>
      <c r="H18" s="3"/>
      <c r="I18" s="3"/>
    </row>
    <row r="19" spans="1:9" ht="15.75">
      <c r="A19" s="12" t="s">
        <v>534</v>
      </c>
      <c r="B19" s="43"/>
      <c r="C19" s="12"/>
      <c r="D19" s="12"/>
      <c r="E19" s="12"/>
      <c r="F19" s="12"/>
      <c r="G19" s="3"/>
      <c r="H19" s="3"/>
      <c r="I19" s="3"/>
    </row>
    <row r="20" spans="1:9" ht="15.75">
      <c r="A20" s="386" t="s">
        <v>3</v>
      </c>
      <c r="B20" s="393" t="s">
        <v>57</v>
      </c>
      <c r="C20" s="422" t="s">
        <v>284</v>
      </c>
      <c r="D20" s="45" t="s">
        <v>285</v>
      </c>
      <c r="E20" s="391" t="s">
        <v>552</v>
      </c>
      <c r="F20" s="45" t="s">
        <v>287</v>
      </c>
      <c r="G20" s="3"/>
      <c r="H20" s="3"/>
      <c r="I20" s="3"/>
    </row>
    <row r="21" spans="1:9" ht="15.75">
      <c r="A21" s="387"/>
      <c r="B21" s="396"/>
      <c r="C21" s="423"/>
      <c r="D21" s="44" t="s">
        <v>291</v>
      </c>
      <c r="E21" s="392"/>
      <c r="F21" s="44" t="s">
        <v>553</v>
      </c>
      <c r="G21" s="1"/>
      <c r="H21" s="3"/>
      <c r="I21" s="3"/>
    </row>
    <row r="22" spans="1:9" ht="15.75">
      <c r="A22" s="52" t="s">
        <v>535</v>
      </c>
      <c r="B22" s="53"/>
      <c r="C22" s="54"/>
      <c r="D22" s="54"/>
      <c r="E22" s="54"/>
      <c r="F22" s="54"/>
      <c r="G22" s="1"/>
      <c r="H22" s="3"/>
      <c r="I22" s="3"/>
    </row>
    <row r="23" spans="1:9" ht="15.75">
      <c r="A23" s="15" t="s">
        <v>536</v>
      </c>
      <c r="B23" s="258">
        <v>2014</v>
      </c>
      <c r="C23" s="17">
        <v>2300</v>
      </c>
      <c r="D23" s="16">
        <v>2600</v>
      </c>
      <c r="E23" s="17">
        <v>3400</v>
      </c>
      <c r="F23" s="16">
        <v>3000</v>
      </c>
      <c r="G23" s="1"/>
      <c r="H23" s="3"/>
      <c r="I23" s="3"/>
    </row>
    <row r="24" spans="1:9" ht="15.75">
      <c r="A24" s="33" t="s">
        <v>537</v>
      </c>
      <c r="B24" s="258">
        <v>2014</v>
      </c>
      <c r="C24" s="17">
        <v>1900</v>
      </c>
      <c r="D24" s="16">
        <v>2200</v>
      </c>
      <c r="E24" s="17">
        <v>2800</v>
      </c>
      <c r="F24" s="16">
        <v>2500</v>
      </c>
      <c r="G24" s="1"/>
      <c r="H24" s="3"/>
      <c r="I24" s="3"/>
    </row>
    <row r="25" spans="1:9" ht="15.75">
      <c r="A25" s="33" t="s">
        <v>538</v>
      </c>
      <c r="B25" s="258">
        <v>2014</v>
      </c>
      <c r="C25" s="17">
        <v>1200</v>
      </c>
      <c r="D25" s="16">
        <v>1300</v>
      </c>
      <c r="E25" s="17">
        <v>1700</v>
      </c>
      <c r="F25" s="16">
        <v>1500</v>
      </c>
      <c r="G25" s="1"/>
      <c r="H25" s="3"/>
      <c r="I25" s="3"/>
    </row>
    <row r="26" spans="1:9" ht="15.75">
      <c r="A26" s="13" t="s">
        <v>539</v>
      </c>
      <c r="B26" s="46"/>
      <c r="C26" s="12"/>
      <c r="D26" s="12"/>
      <c r="E26" s="12"/>
      <c r="F26" s="12"/>
      <c r="G26" s="1"/>
      <c r="H26" s="3"/>
      <c r="I26" s="3"/>
    </row>
    <row r="27" spans="1:9" ht="15.75">
      <c r="A27" s="15" t="s">
        <v>540</v>
      </c>
      <c r="B27" s="258">
        <v>2014</v>
      </c>
      <c r="C27" s="17">
        <v>1800</v>
      </c>
      <c r="D27" s="16">
        <v>2000</v>
      </c>
      <c r="E27" s="17">
        <v>2600</v>
      </c>
      <c r="F27" s="16">
        <v>2300</v>
      </c>
      <c r="G27" s="3"/>
      <c r="H27" s="3"/>
      <c r="I27" s="3"/>
    </row>
    <row r="28" spans="1:9" ht="15.75">
      <c r="A28" s="52" t="s">
        <v>541</v>
      </c>
      <c r="B28" s="59"/>
      <c r="C28" s="59"/>
      <c r="D28" s="59"/>
      <c r="E28" s="59"/>
      <c r="F28" s="59"/>
      <c r="G28" s="3"/>
      <c r="H28" s="3"/>
      <c r="I28" s="3"/>
    </row>
    <row r="29" spans="1:9" ht="15.75">
      <c r="A29" s="15" t="s">
        <v>542</v>
      </c>
      <c r="B29" s="258">
        <v>2014</v>
      </c>
      <c r="C29" s="17">
        <v>2100</v>
      </c>
      <c r="D29" s="16">
        <v>2400</v>
      </c>
      <c r="E29" s="17">
        <v>3100</v>
      </c>
      <c r="F29" s="16">
        <v>2800</v>
      </c>
      <c r="G29" s="3"/>
      <c r="H29" s="3"/>
      <c r="I29" s="3"/>
    </row>
    <row r="30" spans="1:9" ht="15.75">
      <c r="A30" s="15" t="s">
        <v>543</v>
      </c>
      <c r="B30" s="258">
        <v>2014</v>
      </c>
      <c r="C30" s="17">
        <v>1800</v>
      </c>
      <c r="D30" s="16">
        <v>2000</v>
      </c>
      <c r="E30" s="17">
        <v>2600</v>
      </c>
      <c r="F30" s="16">
        <v>2300</v>
      </c>
      <c r="G30" s="3"/>
      <c r="H30" s="3"/>
      <c r="I30" s="3"/>
    </row>
    <row r="31" spans="1:9" ht="15.75">
      <c r="A31" s="13" t="s">
        <v>4</v>
      </c>
      <c r="B31" s="46"/>
      <c r="C31" s="47"/>
      <c r="D31" s="47"/>
      <c r="E31" s="47"/>
      <c r="F31" s="47"/>
      <c r="G31" s="3"/>
      <c r="H31" s="3"/>
      <c r="I31" s="3"/>
    </row>
    <row r="32" spans="1:9" ht="15.75">
      <c r="A32" s="33" t="s">
        <v>544</v>
      </c>
      <c r="B32" s="58" t="s">
        <v>341</v>
      </c>
      <c r="C32" s="17">
        <v>1700</v>
      </c>
      <c r="D32" s="16">
        <v>1800</v>
      </c>
      <c r="E32" s="17">
        <v>2200</v>
      </c>
      <c r="F32" s="16">
        <v>2000</v>
      </c>
      <c r="G32" s="3"/>
      <c r="H32" s="3"/>
      <c r="I32" s="3"/>
    </row>
    <row r="33" spans="1:9" ht="15.75">
      <c r="A33" s="70" t="s">
        <v>59</v>
      </c>
      <c r="B33" s="103"/>
      <c r="C33" s="262"/>
      <c r="D33" s="262"/>
      <c r="E33" s="69"/>
      <c r="F33" s="69"/>
      <c r="G33" s="3"/>
      <c r="H33" s="3"/>
      <c r="I33" s="3"/>
    </row>
    <row r="34" spans="1:9" ht="15.75">
      <c r="A34" s="4" t="s">
        <v>81</v>
      </c>
      <c r="B34" s="103"/>
      <c r="C34" s="262"/>
      <c r="D34" s="262"/>
      <c r="E34" s="69"/>
      <c r="F34" s="69"/>
      <c r="G34" s="3"/>
      <c r="H34" s="3"/>
      <c r="I34" s="3"/>
    </row>
    <row r="35" spans="1:9" ht="18.75" customHeight="1">
      <c r="A35" s="310" t="s">
        <v>546</v>
      </c>
      <c r="B35" s="311"/>
      <c r="C35" s="312"/>
      <c r="D35" s="312"/>
      <c r="E35" s="313"/>
      <c r="F35" s="314"/>
      <c r="G35" s="3"/>
      <c r="H35" s="3"/>
      <c r="I35" s="3"/>
    </row>
    <row r="36" spans="1:9" ht="18.75" customHeight="1">
      <c r="A36" s="315"/>
      <c r="B36" s="316"/>
      <c r="C36" s="316"/>
      <c r="D36" s="316"/>
      <c r="E36" s="316"/>
      <c r="F36" s="317"/>
      <c r="G36" s="1"/>
      <c r="H36" s="3"/>
      <c r="I36" s="3"/>
    </row>
    <row r="37" spans="1:9" ht="15.75">
      <c r="A37" s="4" t="s">
        <v>81</v>
      </c>
      <c r="B37" s="103"/>
      <c r="C37" s="262"/>
      <c r="D37" s="262"/>
      <c r="E37" s="69"/>
      <c r="F37" s="69"/>
      <c r="G37" s="1"/>
      <c r="H37" s="3"/>
      <c r="I37" s="3"/>
    </row>
    <row r="38" spans="1:9" ht="158.25" customHeight="1">
      <c r="A38" s="263" t="s">
        <v>547</v>
      </c>
      <c r="B38" s="416" t="s">
        <v>548</v>
      </c>
      <c r="C38" s="417"/>
      <c r="D38" s="417"/>
      <c r="E38" s="417"/>
      <c r="F38" s="418"/>
      <c r="G38" s="1"/>
      <c r="H38" s="3"/>
      <c r="I38" s="3"/>
    </row>
    <row r="39" spans="1:9" ht="34.5" customHeight="1">
      <c r="A39" s="259" t="s">
        <v>549</v>
      </c>
      <c r="B39" s="398" t="s">
        <v>550</v>
      </c>
      <c r="C39" s="399"/>
      <c r="D39" s="399"/>
      <c r="E39" s="399"/>
      <c r="F39" s="400"/>
      <c r="G39" s="1"/>
      <c r="H39" s="3"/>
      <c r="I39" s="3"/>
    </row>
    <row r="40" spans="1:9" ht="99" customHeight="1">
      <c r="A40" s="78" t="s">
        <v>9</v>
      </c>
      <c r="B40" s="419" t="s">
        <v>551</v>
      </c>
      <c r="C40" s="420"/>
      <c r="D40" s="420"/>
      <c r="E40" s="420"/>
      <c r="F40" s="421"/>
      <c r="G40" s="1"/>
      <c r="H40" s="3"/>
      <c r="I40" s="3"/>
    </row>
    <row r="41" spans="1:9">
      <c r="F41" s="3"/>
      <c r="G41" s="1"/>
      <c r="H41" s="3"/>
      <c r="I41" s="3"/>
    </row>
    <row r="42" spans="1:9">
      <c r="F42" s="3"/>
      <c r="G42" s="3"/>
      <c r="H42" s="3"/>
      <c r="I42" s="3"/>
    </row>
    <row r="43" spans="1:9">
      <c r="F43" s="3"/>
      <c r="G43" s="3"/>
      <c r="H43" s="3"/>
      <c r="I43" s="3"/>
    </row>
    <row r="44" spans="1:9">
      <c r="F44" s="3"/>
      <c r="G44" s="3"/>
      <c r="H44" s="3"/>
      <c r="I44" s="3"/>
    </row>
    <row r="45" spans="1:9">
      <c r="F45" s="3"/>
      <c r="G45" s="3"/>
      <c r="H45" s="3"/>
      <c r="I45" s="3"/>
    </row>
    <row r="46" spans="1:9">
      <c r="F46" s="3"/>
      <c r="G46" s="3"/>
      <c r="H46" s="3"/>
      <c r="I46" s="3"/>
    </row>
    <row r="47" spans="1:9">
      <c r="F47" s="3"/>
      <c r="G47" s="3"/>
      <c r="H47" s="3"/>
      <c r="I47" s="3"/>
    </row>
    <row r="48" spans="1:9">
      <c r="F48" s="3"/>
      <c r="G48" s="3"/>
      <c r="H48" s="3"/>
      <c r="I48" s="3"/>
    </row>
    <row r="49" spans="6:9">
      <c r="F49" s="3"/>
      <c r="G49" s="3"/>
      <c r="H49" s="3"/>
      <c r="I49" s="3"/>
    </row>
    <row r="50" spans="6:9">
      <c r="F50" s="3"/>
      <c r="G50" s="3"/>
      <c r="H50" s="3"/>
      <c r="I50" s="3"/>
    </row>
    <row r="51" spans="6:9">
      <c r="F51" s="3"/>
      <c r="G51" s="3"/>
      <c r="H51" s="3"/>
      <c r="I51" s="3"/>
    </row>
    <row r="52" spans="6:9">
      <c r="F52" s="3"/>
      <c r="G52" s="3"/>
      <c r="H52" s="3"/>
      <c r="I52" s="3"/>
    </row>
    <row r="53" spans="6:9">
      <c r="F53" s="3"/>
      <c r="G53" s="3"/>
      <c r="H53" s="3"/>
      <c r="I53" s="3"/>
    </row>
    <row r="54" spans="6:9">
      <c r="F54" s="3"/>
      <c r="G54" s="1"/>
      <c r="H54" s="3"/>
      <c r="I54" s="3"/>
    </row>
    <row r="55" spans="6:9">
      <c r="F55" s="3"/>
      <c r="G55" s="1"/>
      <c r="H55" s="3"/>
      <c r="I55" s="3"/>
    </row>
    <row r="56" spans="6:9">
      <c r="F56" s="3"/>
      <c r="G56" s="1"/>
      <c r="H56" s="3"/>
      <c r="I56" s="3"/>
    </row>
    <row r="57" spans="6:9">
      <c r="F57" s="3"/>
      <c r="G57" s="1"/>
      <c r="H57" s="3"/>
      <c r="I57" s="3"/>
    </row>
    <row r="58" spans="6:9">
      <c r="F58" s="3"/>
      <c r="G58" s="1"/>
      <c r="H58" s="3"/>
      <c r="I58" s="3"/>
    </row>
    <row r="59" spans="6:9">
      <c r="F59" s="3"/>
      <c r="G59" s="1"/>
      <c r="H59" s="3"/>
      <c r="I59" s="3"/>
    </row>
    <row r="60" spans="6:9">
      <c r="F60" s="3"/>
      <c r="G60" s="3"/>
      <c r="H60" s="3"/>
      <c r="I60" s="3"/>
    </row>
    <row r="61" spans="6:9">
      <c r="F61" s="3"/>
      <c r="G61" s="3"/>
      <c r="H61" s="3"/>
      <c r="I61" s="3"/>
    </row>
    <row r="62" spans="6:9">
      <c r="F62" s="3"/>
      <c r="G62" s="3"/>
      <c r="H62" s="3"/>
      <c r="I62" s="3"/>
    </row>
    <row r="63" spans="6:9">
      <c r="F63" s="3"/>
      <c r="G63" s="3"/>
      <c r="H63" s="3"/>
      <c r="I63" s="3"/>
    </row>
    <row r="64" spans="6:9">
      <c r="F64" s="3"/>
      <c r="G64" s="3"/>
      <c r="H64" s="3"/>
      <c r="I64" s="3"/>
    </row>
    <row r="65" spans="6:9">
      <c r="F65" s="3"/>
      <c r="G65" s="3"/>
      <c r="H65" s="3"/>
      <c r="I65" s="3"/>
    </row>
    <row r="66" spans="6:9">
      <c r="F66" s="3"/>
      <c r="G66" s="3"/>
      <c r="H66" s="3"/>
      <c r="I66" s="3"/>
    </row>
    <row r="67" spans="6:9">
      <c r="F67" s="3"/>
      <c r="G67" s="3"/>
      <c r="H67" s="3"/>
      <c r="I67" s="3"/>
    </row>
    <row r="68" spans="6:9">
      <c r="F68" s="3"/>
      <c r="G68" s="3"/>
      <c r="H68" s="3"/>
      <c r="I68" s="3"/>
    </row>
    <row r="69" spans="6:9">
      <c r="F69" s="3"/>
      <c r="G69" s="1"/>
      <c r="H69" s="3"/>
      <c r="I69" s="3"/>
    </row>
    <row r="70" spans="6:9">
      <c r="F70" s="3"/>
      <c r="G70" s="1"/>
      <c r="H70" s="3"/>
      <c r="I70" s="3"/>
    </row>
    <row r="71" spans="6:9">
      <c r="F71" s="3"/>
      <c r="G71" s="1"/>
      <c r="H71" s="3"/>
      <c r="I71" s="3"/>
    </row>
    <row r="72" spans="6:9">
      <c r="F72" s="3"/>
      <c r="G72" s="1"/>
      <c r="H72" s="3"/>
      <c r="I72" s="3"/>
    </row>
    <row r="73" spans="6:9">
      <c r="F73" s="3"/>
      <c r="G73" s="1"/>
      <c r="H73" s="3"/>
      <c r="I73" s="3"/>
    </row>
    <row r="74" spans="6:9">
      <c r="F74" s="3"/>
      <c r="G74" s="1"/>
      <c r="H74" s="3"/>
      <c r="I74" s="3"/>
    </row>
    <row r="75" spans="6:9">
      <c r="F75" s="3"/>
      <c r="G75" s="3"/>
      <c r="H75" s="3"/>
      <c r="I75" s="3"/>
    </row>
    <row r="76" spans="6:9">
      <c r="F76" s="3"/>
      <c r="G76" s="3"/>
      <c r="H76" s="3"/>
      <c r="I76" s="3"/>
    </row>
    <row r="77" spans="6:9">
      <c r="F77" s="3"/>
      <c r="G77" s="3"/>
      <c r="H77" s="3"/>
      <c r="I77" s="3"/>
    </row>
    <row r="78" spans="6:9">
      <c r="F78" s="3"/>
      <c r="G78" s="3"/>
      <c r="H78" s="3"/>
      <c r="I78" s="3"/>
    </row>
    <row r="79" spans="6:9">
      <c r="F79" s="3"/>
      <c r="G79" s="3"/>
      <c r="H79" s="3"/>
      <c r="I79" s="3"/>
    </row>
    <row r="80" spans="6:9">
      <c r="F80" s="3"/>
      <c r="G80" s="3"/>
      <c r="H80" s="3"/>
      <c r="I80" s="3"/>
    </row>
    <row r="81" spans="6:9">
      <c r="F81" s="3"/>
      <c r="G81" s="3"/>
      <c r="H81" s="3"/>
      <c r="I81" s="3"/>
    </row>
    <row r="82" spans="6:9">
      <c r="F82" s="3"/>
      <c r="G82" s="3"/>
      <c r="H82" s="3"/>
      <c r="I82" s="3"/>
    </row>
    <row r="83" spans="6:9">
      <c r="F83" s="3"/>
      <c r="G83" s="3"/>
      <c r="H83" s="3"/>
      <c r="I83" s="3"/>
    </row>
    <row r="84" spans="6:9">
      <c r="F84" s="3"/>
      <c r="G84" s="1"/>
      <c r="H84" s="3"/>
      <c r="I84" s="3"/>
    </row>
    <row r="85" spans="6:9">
      <c r="F85" s="3"/>
      <c r="G85" s="1"/>
      <c r="H85" s="3"/>
      <c r="I85" s="3"/>
    </row>
    <row r="86" spans="6:9">
      <c r="F86" s="3"/>
      <c r="G86" s="1"/>
      <c r="H86" s="3"/>
      <c r="I86" s="3"/>
    </row>
    <row r="87" spans="6:9">
      <c r="F87" s="3"/>
      <c r="G87" s="1"/>
      <c r="H87" s="3"/>
      <c r="I87" s="3"/>
    </row>
    <row r="88" spans="6:9">
      <c r="F88" s="3"/>
      <c r="G88" s="1"/>
      <c r="H88" s="3"/>
      <c r="I88" s="3"/>
    </row>
    <row r="89" spans="6:9">
      <c r="F89" s="3"/>
      <c r="G89" s="1"/>
      <c r="H89" s="3"/>
      <c r="I89" s="3"/>
    </row>
    <row r="90" spans="6:9">
      <c r="F90" s="3"/>
      <c r="G90" s="3"/>
      <c r="H90" s="3"/>
      <c r="I90" s="3"/>
    </row>
    <row r="91" spans="6:9">
      <c r="F91" s="3"/>
      <c r="G91" s="3"/>
      <c r="H91" s="3"/>
      <c r="I91" s="3"/>
    </row>
    <row r="92" spans="6:9">
      <c r="F92" s="3"/>
      <c r="G92" s="3"/>
      <c r="H92" s="3"/>
      <c r="I92" s="3"/>
    </row>
    <row r="93" spans="6:9">
      <c r="F93" s="3"/>
      <c r="G93" s="3"/>
      <c r="H93" s="3"/>
      <c r="I93" s="3"/>
    </row>
    <row r="94" spans="6:9">
      <c r="F94" s="3"/>
      <c r="G94" s="3"/>
      <c r="H94" s="3"/>
      <c r="I94" s="3"/>
    </row>
    <row r="95" spans="6:9">
      <c r="F95" s="3"/>
      <c r="G95" s="3"/>
      <c r="H95" s="3"/>
      <c r="I95" s="3"/>
    </row>
    <row r="96" spans="6:9">
      <c r="F96" s="3"/>
      <c r="G96" s="3"/>
      <c r="H96" s="3"/>
      <c r="I96" s="3"/>
    </row>
    <row r="97" spans="6:9">
      <c r="F97" s="3"/>
      <c r="G97" s="3"/>
      <c r="H97" s="3"/>
      <c r="I97" s="3"/>
    </row>
    <row r="98" spans="6:9">
      <c r="F98" s="3"/>
      <c r="G98" s="3"/>
      <c r="H98" s="3"/>
      <c r="I98" s="3"/>
    </row>
    <row r="99" spans="6:9">
      <c r="F99" s="3"/>
      <c r="G99" s="3"/>
      <c r="H99" s="3"/>
      <c r="I99" s="3"/>
    </row>
    <row r="100" spans="6:9">
      <c r="F100" s="3"/>
      <c r="G100" s="3"/>
      <c r="H100" s="3"/>
      <c r="I100" s="3"/>
    </row>
    <row r="101" spans="6:9">
      <c r="F101" s="3"/>
      <c r="G101" s="3"/>
      <c r="H101" s="3"/>
      <c r="I101" s="3"/>
    </row>
    <row r="102" spans="6:9">
      <c r="F102" s="3"/>
      <c r="G102" s="1"/>
      <c r="H102" s="3"/>
      <c r="I102" s="3"/>
    </row>
    <row r="103" spans="6:9">
      <c r="F103" s="3"/>
      <c r="G103" s="1"/>
      <c r="H103" s="3"/>
      <c r="I103" s="3"/>
    </row>
    <row r="104" spans="6:9">
      <c r="F104" s="3"/>
      <c r="G104" s="1"/>
      <c r="H104" s="3"/>
      <c r="I104" s="3"/>
    </row>
    <row r="105" spans="6:9">
      <c r="F105" s="3"/>
      <c r="G105" s="1"/>
      <c r="H105" s="3"/>
      <c r="I105" s="3"/>
    </row>
    <row r="106" spans="6:9">
      <c r="F106" s="3"/>
      <c r="G106" s="1"/>
      <c r="H106" s="3"/>
      <c r="I106" s="3"/>
    </row>
    <row r="107" spans="6:9">
      <c r="F107" s="3"/>
      <c r="G107" s="1"/>
      <c r="H107" s="3"/>
      <c r="I107" s="3"/>
    </row>
    <row r="108" spans="6:9">
      <c r="F108" s="3"/>
      <c r="G108" s="3"/>
      <c r="H108" s="3"/>
      <c r="I108" s="3"/>
    </row>
    <row r="109" spans="6:9">
      <c r="F109" s="3"/>
      <c r="G109" s="3"/>
      <c r="H109" s="3"/>
      <c r="I109" s="3"/>
    </row>
    <row r="110" spans="6:9">
      <c r="F110" s="3"/>
      <c r="G110" s="3"/>
      <c r="H110" s="3"/>
      <c r="I110" s="3"/>
    </row>
    <row r="111" spans="6:9">
      <c r="F111" s="3"/>
      <c r="G111" s="3"/>
      <c r="H111" s="3"/>
      <c r="I111" s="3"/>
    </row>
    <row r="112" spans="6:9">
      <c r="F112" s="3"/>
      <c r="G112" s="3"/>
      <c r="H112" s="3"/>
      <c r="I112" s="3"/>
    </row>
    <row r="113" spans="6:9">
      <c r="F113" s="3"/>
      <c r="G113" s="3"/>
      <c r="H113" s="3"/>
      <c r="I113" s="3"/>
    </row>
    <row r="114" spans="6:9">
      <c r="F114" s="3"/>
      <c r="G114" s="3"/>
      <c r="H114" s="3"/>
      <c r="I114" s="3"/>
    </row>
    <row r="115" spans="6:9">
      <c r="F115" s="3"/>
      <c r="G115" s="3"/>
      <c r="H115" s="3"/>
      <c r="I115" s="3"/>
    </row>
    <row r="116" spans="6:9">
      <c r="F116" s="3"/>
      <c r="G116" s="3"/>
      <c r="H116" s="3"/>
      <c r="I116" s="3"/>
    </row>
    <row r="117" spans="6:9">
      <c r="F117" s="3"/>
      <c r="G117" s="1"/>
      <c r="H117" s="3"/>
      <c r="I117" s="3"/>
    </row>
    <row r="118" spans="6:9">
      <c r="F118" s="3"/>
      <c r="G118" s="1"/>
      <c r="H118" s="3"/>
      <c r="I118" s="3"/>
    </row>
    <row r="119" spans="6:9">
      <c r="F119" s="3"/>
      <c r="G119" s="1"/>
      <c r="H119" s="3"/>
      <c r="I119" s="3"/>
    </row>
    <row r="120" spans="6:9">
      <c r="F120" s="3"/>
      <c r="G120" s="1"/>
      <c r="H120" s="3"/>
      <c r="I120" s="3"/>
    </row>
    <row r="121" spans="6:9">
      <c r="F121" s="3"/>
      <c r="G121" s="1"/>
      <c r="H121" s="3"/>
      <c r="I121" s="3"/>
    </row>
    <row r="122" spans="6:9">
      <c r="F122" s="3"/>
      <c r="G122" s="1"/>
      <c r="H122" s="3"/>
      <c r="I122" s="3"/>
    </row>
    <row r="123" spans="6:9">
      <c r="F123" s="3"/>
      <c r="G123" s="3"/>
      <c r="H123" s="3"/>
      <c r="I123" s="3"/>
    </row>
    <row r="124" spans="6:9">
      <c r="F124" s="3"/>
      <c r="G124" s="3"/>
      <c r="H124" s="3"/>
      <c r="I124" s="3"/>
    </row>
    <row r="125" spans="6:9">
      <c r="F125" s="3"/>
      <c r="G125" s="3"/>
      <c r="H125" s="3"/>
      <c r="I125" s="3"/>
    </row>
    <row r="126" spans="6:9">
      <c r="F126" s="3"/>
      <c r="G126" s="3"/>
      <c r="H126" s="3"/>
      <c r="I126" s="3"/>
    </row>
    <row r="127" spans="6:9">
      <c r="F127" s="3"/>
      <c r="G127" s="3"/>
      <c r="H127" s="3"/>
      <c r="I127" s="3"/>
    </row>
    <row r="128" spans="6:9">
      <c r="F128" s="3"/>
      <c r="G128" s="3"/>
      <c r="H128" s="3"/>
      <c r="I128" s="3"/>
    </row>
    <row r="129" spans="6:9">
      <c r="F129" s="3"/>
      <c r="G129" s="3"/>
      <c r="H129" s="3"/>
      <c r="I129" s="3"/>
    </row>
    <row r="130" spans="6:9">
      <c r="F130" s="3"/>
      <c r="G130" s="3"/>
      <c r="H130" s="3"/>
      <c r="I130" s="3"/>
    </row>
    <row r="131" spans="6:9">
      <c r="F131" s="3"/>
      <c r="G131" s="3"/>
      <c r="H131" s="3"/>
      <c r="I131" s="3"/>
    </row>
    <row r="132" spans="6:9">
      <c r="F132" s="3"/>
      <c r="G132" s="1"/>
      <c r="H132" s="3"/>
      <c r="I132" s="3"/>
    </row>
    <row r="133" spans="6:9">
      <c r="F133" s="3"/>
      <c r="G133" s="1"/>
      <c r="H133" s="3"/>
      <c r="I133" s="3"/>
    </row>
    <row r="134" spans="6:9">
      <c r="F134" s="3"/>
      <c r="G134" s="1"/>
      <c r="H134" s="3"/>
      <c r="I134" s="3"/>
    </row>
    <row r="135" spans="6:9">
      <c r="F135" s="3"/>
      <c r="G135" s="1"/>
      <c r="H135" s="3"/>
      <c r="I135" s="3"/>
    </row>
    <row r="136" spans="6:9">
      <c r="F136" s="3"/>
      <c r="G136" s="1"/>
      <c r="H136" s="3"/>
      <c r="I136" s="3"/>
    </row>
    <row r="137" spans="6:9">
      <c r="F137" s="3"/>
      <c r="G137" s="1"/>
      <c r="H137" s="3"/>
      <c r="I137" s="3"/>
    </row>
    <row r="138" spans="6:9">
      <c r="F138" s="3"/>
      <c r="G138" s="3"/>
      <c r="H138" s="3"/>
      <c r="I138" s="3"/>
    </row>
    <row r="139" spans="6:9">
      <c r="F139" s="3"/>
      <c r="G139" s="3"/>
      <c r="H139" s="3"/>
      <c r="I139" s="3"/>
    </row>
    <row r="140" spans="6:9">
      <c r="F140" s="3"/>
      <c r="G140" s="3"/>
      <c r="H140" s="3"/>
      <c r="I140" s="3"/>
    </row>
    <row r="141" spans="6:9">
      <c r="F141" s="3"/>
      <c r="G141" s="3"/>
      <c r="H141" s="3"/>
      <c r="I141" s="3"/>
    </row>
    <row r="142" spans="6:9">
      <c r="F142" s="3"/>
      <c r="G142" s="3"/>
      <c r="H142" s="3"/>
      <c r="I142" s="3"/>
    </row>
    <row r="143" spans="6:9">
      <c r="F143" s="3"/>
      <c r="G143" s="3"/>
      <c r="H143" s="3"/>
      <c r="I143" s="3"/>
    </row>
    <row r="144" spans="6:9">
      <c r="F144" s="3"/>
      <c r="G144" s="3"/>
      <c r="H144" s="3"/>
      <c r="I144" s="3"/>
    </row>
    <row r="145" spans="6:9">
      <c r="F145" s="3"/>
      <c r="G145" s="3"/>
      <c r="H145" s="3"/>
      <c r="I145" s="3"/>
    </row>
    <row r="146" spans="6:9">
      <c r="F146" s="3"/>
      <c r="G146" s="3"/>
      <c r="H146" s="3"/>
      <c r="I146" s="3"/>
    </row>
    <row r="147" spans="6:9">
      <c r="F147" s="3"/>
      <c r="G147" s="3"/>
      <c r="H147" s="3"/>
      <c r="I147" s="3"/>
    </row>
    <row r="148" spans="6:9">
      <c r="F148" s="3"/>
      <c r="G148" s="3"/>
      <c r="H148" s="3"/>
      <c r="I148" s="3"/>
    </row>
    <row r="149" spans="6:9">
      <c r="F149" s="3"/>
      <c r="G149" s="3"/>
      <c r="H149" s="3"/>
      <c r="I149" s="3"/>
    </row>
    <row r="150" spans="6:9">
      <c r="F150" s="3"/>
      <c r="G150" s="1"/>
      <c r="H150" s="3"/>
      <c r="I150" s="3"/>
    </row>
    <row r="151" spans="6:9">
      <c r="F151" s="3"/>
      <c r="G151" s="1"/>
      <c r="H151" s="3"/>
      <c r="I151" s="3"/>
    </row>
    <row r="152" spans="6:9">
      <c r="F152" s="3"/>
      <c r="G152" s="1"/>
      <c r="H152" s="3"/>
      <c r="I152" s="3"/>
    </row>
    <row r="153" spans="6:9">
      <c r="F153" s="3"/>
      <c r="G153" s="1"/>
      <c r="H153" s="3"/>
      <c r="I153" s="3"/>
    </row>
    <row r="154" spans="6:9">
      <c r="F154" s="3"/>
      <c r="G154" s="1"/>
      <c r="H154" s="3"/>
      <c r="I154" s="3"/>
    </row>
    <row r="155" spans="6:9">
      <c r="F155" s="3"/>
      <c r="G155" s="1"/>
      <c r="H155" s="3"/>
      <c r="I155" s="3"/>
    </row>
    <row r="156" spans="6:9">
      <c r="F156" s="3"/>
      <c r="G156" s="3"/>
      <c r="H156" s="3"/>
      <c r="I156" s="3"/>
    </row>
    <row r="157" spans="6:9">
      <c r="F157" s="3"/>
      <c r="G157" s="3"/>
      <c r="H157" s="3"/>
      <c r="I157" s="3"/>
    </row>
    <row r="158" spans="6:9">
      <c r="F158" s="3"/>
      <c r="G158" s="3"/>
      <c r="H158" s="3"/>
      <c r="I158" s="3"/>
    </row>
    <row r="159" spans="6:9">
      <c r="F159" s="3"/>
      <c r="G159" s="3"/>
      <c r="H159" s="3"/>
      <c r="I159" s="3"/>
    </row>
    <row r="160" spans="6:9">
      <c r="F160" s="3"/>
      <c r="G160" s="3"/>
      <c r="H160" s="3"/>
      <c r="I160" s="3"/>
    </row>
    <row r="161" spans="6:9">
      <c r="F161" s="3"/>
      <c r="G161" s="3"/>
      <c r="H161" s="3"/>
      <c r="I161" s="3"/>
    </row>
    <row r="162" spans="6:9">
      <c r="F162" s="3"/>
      <c r="G162" s="3"/>
      <c r="H162" s="3"/>
      <c r="I162" s="3"/>
    </row>
    <row r="163" spans="6:9">
      <c r="F163" s="3"/>
      <c r="G163" s="3"/>
      <c r="H163" s="3"/>
      <c r="I163" s="3"/>
    </row>
    <row r="164" spans="6:9">
      <c r="F164" s="3"/>
      <c r="G164" s="3"/>
      <c r="H164" s="3"/>
      <c r="I164" s="3"/>
    </row>
    <row r="165" spans="6:9">
      <c r="F165" s="3"/>
      <c r="G165" s="1"/>
      <c r="H165" s="3"/>
      <c r="I165" s="3"/>
    </row>
    <row r="166" spans="6:9">
      <c r="F166" s="3"/>
      <c r="G166" s="1"/>
      <c r="H166" s="3"/>
      <c r="I166" s="3"/>
    </row>
    <row r="167" spans="6:9">
      <c r="F167" s="3"/>
      <c r="G167" s="1"/>
      <c r="H167" s="3"/>
      <c r="I167" s="3"/>
    </row>
    <row r="168" spans="6:9">
      <c r="F168" s="3"/>
      <c r="G168" s="1"/>
      <c r="H168" s="3"/>
      <c r="I168" s="3"/>
    </row>
    <row r="169" spans="6:9">
      <c r="F169" s="3"/>
      <c r="G169" s="1"/>
      <c r="H169" s="3"/>
      <c r="I169" s="3"/>
    </row>
    <row r="170" spans="6:9">
      <c r="F170" s="3"/>
      <c r="G170" s="1"/>
      <c r="H170" s="3"/>
      <c r="I170" s="3"/>
    </row>
    <row r="171" spans="6:9">
      <c r="F171" s="3"/>
      <c r="G171" s="3"/>
      <c r="H171" s="3"/>
      <c r="I171" s="3"/>
    </row>
    <row r="172" spans="6:9">
      <c r="F172" s="3"/>
      <c r="G172" s="3"/>
      <c r="H172" s="3"/>
      <c r="I172" s="3"/>
    </row>
    <row r="173" spans="6:9">
      <c r="F173" s="3"/>
      <c r="G173" s="3"/>
      <c r="H173" s="3"/>
      <c r="I173" s="3"/>
    </row>
    <row r="174" spans="6:9">
      <c r="F174" s="3"/>
      <c r="G174" s="3"/>
      <c r="H174" s="3"/>
      <c r="I174" s="3"/>
    </row>
    <row r="175" spans="6:9">
      <c r="F175" s="3"/>
      <c r="G175" s="3"/>
      <c r="H175" s="3"/>
      <c r="I175" s="3"/>
    </row>
    <row r="176" spans="6:9">
      <c r="F176" s="3"/>
      <c r="G176" s="3"/>
      <c r="H176" s="3"/>
      <c r="I176" s="3"/>
    </row>
    <row r="177" spans="6:9">
      <c r="F177" s="3"/>
      <c r="G177" s="3"/>
      <c r="H177" s="3"/>
      <c r="I177" s="3"/>
    </row>
    <row r="178" spans="6:9">
      <c r="F178" s="3"/>
      <c r="G178" s="3"/>
      <c r="H178" s="3"/>
      <c r="I178" s="3"/>
    </row>
    <row r="179" spans="6:9">
      <c r="F179" s="3"/>
      <c r="G179" s="3"/>
      <c r="H179" s="3"/>
      <c r="I179" s="3"/>
    </row>
    <row r="180" spans="6:9">
      <c r="F180" s="3"/>
      <c r="G180" s="1"/>
      <c r="H180" s="3"/>
      <c r="I180" s="3"/>
    </row>
    <row r="181" spans="6:9">
      <c r="F181" s="3"/>
      <c r="G181" s="1"/>
      <c r="H181" s="3"/>
      <c r="I181" s="3"/>
    </row>
    <row r="182" spans="6:9">
      <c r="F182" s="3"/>
      <c r="G182" s="1"/>
      <c r="H182" s="3"/>
      <c r="I182" s="3"/>
    </row>
    <row r="183" spans="6:9">
      <c r="F183" s="3"/>
      <c r="G183" s="1"/>
      <c r="H183" s="3"/>
      <c r="I183" s="3"/>
    </row>
    <row r="184" spans="6:9">
      <c r="F184" s="3"/>
      <c r="G184" s="1"/>
      <c r="H184" s="3"/>
      <c r="I184" s="3"/>
    </row>
    <row r="185" spans="6:9">
      <c r="F185" s="3"/>
      <c r="G185" s="1"/>
      <c r="H185" s="3"/>
      <c r="I185" s="3"/>
    </row>
    <row r="186" spans="6:9">
      <c r="F186" s="3"/>
      <c r="G186" s="3"/>
      <c r="H186" s="3"/>
      <c r="I186" s="3"/>
    </row>
    <row r="187" spans="6:9">
      <c r="F187" s="3"/>
      <c r="G187" s="3"/>
      <c r="H187" s="3"/>
      <c r="I187" s="3"/>
    </row>
    <row r="188" spans="6:9">
      <c r="F188" s="3"/>
      <c r="G188" s="3"/>
      <c r="H188" s="3"/>
      <c r="I188" s="3"/>
    </row>
    <row r="189" spans="6:9">
      <c r="F189" s="3"/>
      <c r="G189" s="3"/>
      <c r="H189" s="3"/>
      <c r="I189" s="3"/>
    </row>
    <row r="190" spans="6:9">
      <c r="F190" s="3"/>
      <c r="G190" s="3"/>
      <c r="H190" s="3"/>
      <c r="I190" s="3"/>
    </row>
    <row r="191" spans="6:9">
      <c r="F191" s="3"/>
      <c r="G191" s="3"/>
      <c r="H191" s="3"/>
      <c r="I191" s="3"/>
    </row>
    <row r="192" spans="6:9">
      <c r="F192" s="3"/>
      <c r="G192" s="3"/>
      <c r="H192" s="3"/>
      <c r="I192" s="3"/>
    </row>
    <row r="193" spans="6:9">
      <c r="F193" s="3"/>
      <c r="G193" s="3"/>
      <c r="H193" s="3"/>
      <c r="I193" s="3"/>
    </row>
    <row r="194" spans="6:9">
      <c r="F194" s="3"/>
      <c r="G194" s="3"/>
      <c r="H194" s="3"/>
      <c r="I194" s="3"/>
    </row>
    <row r="195" spans="6:9">
      <c r="F195" s="3"/>
      <c r="G195" s="3"/>
      <c r="H195" s="3"/>
      <c r="I195" s="3"/>
    </row>
    <row r="196" spans="6:9">
      <c r="F196" s="3"/>
      <c r="G196" s="3"/>
      <c r="H196" s="3"/>
      <c r="I196" s="3"/>
    </row>
    <row r="197" spans="6:9">
      <c r="F197" s="3"/>
      <c r="G197" s="3"/>
      <c r="H197" s="3"/>
      <c r="I197" s="3"/>
    </row>
    <row r="198" spans="6:9">
      <c r="F198" s="3"/>
      <c r="G198" s="1"/>
      <c r="H198" s="3"/>
      <c r="I198" s="3"/>
    </row>
    <row r="199" spans="6:9">
      <c r="F199" s="3"/>
      <c r="G199" s="1"/>
      <c r="H199" s="3"/>
      <c r="I199" s="3"/>
    </row>
    <row r="200" spans="6:9">
      <c r="F200" s="3"/>
      <c r="G200" s="1"/>
      <c r="H200" s="3"/>
      <c r="I200" s="3"/>
    </row>
    <row r="201" spans="6:9">
      <c r="F201" s="3"/>
      <c r="G201" s="1"/>
      <c r="H201" s="3"/>
      <c r="I201" s="3"/>
    </row>
    <row r="202" spans="6:9">
      <c r="F202" s="3"/>
      <c r="G202" s="1"/>
      <c r="H202" s="3"/>
      <c r="I202" s="3"/>
    </row>
    <row r="203" spans="6:9">
      <c r="F203" s="3"/>
      <c r="G203" s="1"/>
      <c r="H203" s="3"/>
      <c r="I203" s="3"/>
    </row>
    <row r="204" spans="6:9">
      <c r="F204" s="3"/>
      <c r="G204" s="3"/>
      <c r="H204" s="3"/>
      <c r="I204" s="3"/>
    </row>
    <row r="205" spans="6:9">
      <c r="F205" s="3"/>
      <c r="G205" s="3"/>
      <c r="H205" s="3"/>
      <c r="I205" s="3"/>
    </row>
    <row r="206" spans="6:9">
      <c r="F206" s="3"/>
      <c r="G206" s="3"/>
      <c r="H206" s="3"/>
      <c r="I206" s="3"/>
    </row>
    <row r="207" spans="6:9">
      <c r="F207" s="3"/>
      <c r="G207" s="3"/>
      <c r="H207" s="3"/>
      <c r="I207" s="3"/>
    </row>
    <row r="208" spans="6:9">
      <c r="F208" s="3"/>
      <c r="G208" s="3"/>
      <c r="H208" s="3"/>
      <c r="I208" s="3"/>
    </row>
    <row r="209" spans="6:9">
      <c r="F209" s="3"/>
      <c r="G209" s="3"/>
      <c r="H209" s="3"/>
      <c r="I209" s="3"/>
    </row>
    <row r="210" spans="6:9">
      <c r="F210" s="3"/>
      <c r="G210" s="3"/>
      <c r="H210" s="3"/>
      <c r="I210" s="3"/>
    </row>
    <row r="211" spans="6:9">
      <c r="F211" s="3"/>
      <c r="G211" s="3"/>
      <c r="H211" s="3"/>
      <c r="I211" s="3"/>
    </row>
    <row r="212" spans="6:9">
      <c r="F212" s="3"/>
      <c r="G212" s="3"/>
      <c r="H212" s="3"/>
      <c r="I212" s="3"/>
    </row>
    <row r="213" spans="6:9">
      <c r="F213" s="3"/>
      <c r="G213" s="1"/>
      <c r="H213" s="3"/>
      <c r="I213" s="3"/>
    </row>
    <row r="214" spans="6:9">
      <c r="F214" s="3"/>
      <c r="G214" s="1"/>
      <c r="H214" s="3"/>
      <c r="I214" s="3"/>
    </row>
    <row r="215" spans="6:9">
      <c r="F215" s="3"/>
      <c r="G215" s="1"/>
      <c r="H215" s="3"/>
      <c r="I215" s="3"/>
    </row>
    <row r="216" spans="6:9">
      <c r="F216" s="3"/>
      <c r="G216" s="1"/>
      <c r="H216" s="3"/>
      <c r="I216" s="3"/>
    </row>
    <row r="217" spans="6:9">
      <c r="F217" s="3"/>
      <c r="G217" s="1"/>
      <c r="H217" s="3"/>
      <c r="I217" s="3"/>
    </row>
    <row r="218" spans="6:9">
      <c r="F218" s="3"/>
      <c r="G218" s="1"/>
      <c r="H218" s="3"/>
      <c r="I218" s="3"/>
    </row>
    <row r="219" spans="6:9">
      <c r="F219" s="3"/>
      <c r="G219" s="3"/>
      <c r="H219" s="3"/>
      <c r="I219" s="3"/>
    </row>
    <row r="220" spans="6:9">
      <c r="F220" s="3"/>
      <c r="G220" s="3"/>
      <c r="H220" s="3"/>
      <c r="I220" s="3"/>
    </row>
    <row r="221" spans="6:9">
      <c r="F221" s="3"/>
      <c r="G221" s="3"/>
      <c r="H221" s="3"/>
      <c r="I221" s="3"/>
    </row>
    <row r="222" spans="6:9">
      <c r="F222" s="3"/>
      <c r="G222" s="3"/>
      <c r="H222" s="3"/>
      <c r="I222" s="3"/>
    </row>
    <row r="223" spans="6:9">
      <c r="F223" s="3"/>
      <c r="G223" s="3"/>
      <c r="H223" s="3"/>
      <c r="I223" s="3"/>
    </row>
    <row r="224" spans="6:9">
      <c r="F224" s="3"/>
      <c r="G224" s="3"/>
      <c r="H224" s="3"/>
      <c r="I224" s="3"/>
    </row>
    <row r="225" spans="6:9">
      <c r="F225" s="3"/>
      <c r="G225" s="3"/>
      <c r="H225" s="3"/>
      <c r="I225" s="3"/>
    </row>
    <row r="226" spans="6:9">
      <c r="F226" s="3"/>
      <c r="G226" s="3"/>
      <c r="H226" s="3"/>
      <c r="I226" s="3"/>
    </row>
    <row r="227" spans="6:9">
      <c r="F227" s="3"/>
      <c r="G227" s="3"/>
      <c r="H227" s="3"/>
      <c r="I227" s="3"/>
    </row>
    <row r="228" spans="6:9">
      <c r="F228" s="3"/>
      <c r="G228" s="1"/>
      <c r="H228" s="3"/>
      <c r="I228" s="3"/>
    </row>
    <row r="229" spans="6:9">
      <c r="F229" s="3"/>
      <c r="G229" s="1"/>
      <c r="H229" s="3"/>
      <c r="I229" s="3"/>
    </row>
    <row r="230" spans="6:9">
      <c r="F230" s="3"/>
      <c r="G230" s="1"/>
      <c r="H230" s="3"/>
      <c r="I230" s="3"/>
    </row>
    <row r="231" spans="6:9">
      <c r="F231" s="3"/>
      <c r="G231" s="1"/>
      <c r="H231" s="3"/>
      <c r="I231" s="3"/>
    </row>
    <row r="232" spans="6:9">
      <c r="F232" s="3"/>
      <c r="G232" s="1"/>
      <c r="H232" s="3"/>
      <c r="I232" s="3"/>
    </row>
    <row r="233" spans="6:9">
      <c r="F233" s="3"/>
      <c r="G233" s="1"/>
      <c r="H233" s="3"/>
      <c r="I233" s="3"/>
    </row>
    <row r="234" spans="6:9">
      <c r="F234" s="3"/>
      <c r="G234" s="3"/>
      <c r="H234" s="3"/>
      <c r="I234" s="3"/>
    </row>
    <row r="235" spans="6:9">
      <c r="F235" s="3"/>
      <c r="G235" s="3"/>
      <c r="H235" s="3"/>
      <c r="I235" s="3"/>
    </row>
    <row r="236" spans="6:9">
      <c r="F236" s="3"/>
      <c r="G236" s="3"/>
      <c r="H236" s="3"/>
      <c r="I236" s="3"/>
    </row>
    <row r="237" spans="6:9">
      <c r="F237" s="3"/>
      <c r="G237" s="3"/>
      <c r="H237" s="3"/>
      <c r="I237" s="3"/>
    </row>
    <row r="238" spans="6:9">
      <c r="F238" s="3"/>
      <c r="G238" s="3"/>
      <c r="H238" s="3"/>
      <c r="I238" s="3"/>
    </row>
    <row r="239" spans="6:9">
      <c r="F239" s="3"/>
      <c r="G239" s="3"/>
      <c r="H239" s="3"/>
      <c r="I239" s="3"/>
    </row>
    <row r="240" spans="6:9">
      <c r="F240" s="3"/>
      <c r="G240" s="3"/>
      <c r="H240" s="3"/>
      <c r="I240" s="3"/>
    </row>
    <row r="241" spans="6:9">
      <c r="F241" s="3"/>
      <c r="G241" s="3"/>
      <c r="H241" s="3"/>
      <c r="I241" s="3"/>
    </row>
    <row r="242" spans="6:9">
      <c r="F242" s="3"/>
      <c r="G242" s="3"/>
      <c r="H242" s="3"/>
      <c r="I242" s="3"/>
    </row>
    <row r="243" spans="6:9">
      <c r="F243" s="3"/>
      <c r="G243" s="3"/>
      <c r="H243" s="3"/>
      <c r="I243" s="3"/>
    </row>
    <row r="244" spans="6:9">
      <c r="F244" s="3"/>
      <c r="G244" s="3"/>
      <c r="H244" s="3"/>
      <c r="I244" s="3"/>
    </row>
    <row r="245" spans="6:9">
      <c r="F245" s="3"/>
      <c r="G245" s="3"/>
      <c r="H245" s="3"/>
      <c r="I245" s="3"/>
    </row>
    <row r="246" spans="6:9">
      <c r="F246" s="3"/>
      <c r="G246" s="1"/>
      <c r="H246" s="3"/>
      <c r="I246" s="3"/>
    </row>
    <row r="247" spans="6:9">
      <c r="F247" s="3"/>
      <c r="G247" s="1"/>
      <c r="H247" s="3"/>
      <c r="I247" s="3"/>
    </row>
    <row r="248" spans="6:9">
      <c r="F248" s="3"/>
      <c r="G248" s="1"/>
      <c r="H248" s="3"/>
      <c r="I248" s="3"/>
    </row>
    <row r="249" spans="6:9">
      <c r="F249" s="3"/>
      <c r="G249" s="1"/>
      <c r="H249" s="3"/>
      <c r="I249" s="3"/>
    </row>
    <row r="250" spans="6:9">
      <c r="F250" s="3"/>
      <c r="G250" s="1"/>
      <c r="H250" s="3"/>
      <c r="I250" s="3"/>
    </row>
    <row r="251" spans="6:9">
      <c r="F251" s="3"/>
      <c r="G251" s="1"/>
      <c r="H251" s="3"/>
      <c r="I251" s="3"/>
    </row>
    <row r="252" spans="6:9">
      <c r="F252" s="3"/>
      <c r="G252" s="3"/>
      <c r="H252" s="3"/>
      <c r="I252" s="3"/>
    </row>
    <row r="253" spans="6:9">
      <c r="F253" s="3"/>
      <c r="G253" s="3"/>
      <c r="H253" s="3"/>
      <c r="I253" s="3"/>
    </row>
    <row r="254" spans="6:9">
      <c r="F254" s="3"/>
      <c r="G254" s="3"/>
      <c r="H254" s="3"/>
      <c r="I254" s="3"/>
    </row>
    <row r="255" spans="6:9">
      <c r="F255" s="3"/>
      <c r="G255" s="3"/>
      <c r="H255" s="3"/>
      <c r="I255" s="3"/>
    </row>
    <row r="256" spans="6:9">
      <c r="F256" s="3"/>
      <c r="G256" s="3"/>
      <c r="H256" s="3"/>
      <c r="I256" s="3"/>
    </row>
    <row r="257" spans="6:9">
      <c r="F257" s="3"/>
      <c r="G257" s="3"/>
      <c r="H257" s="3"/>
      <c r="I257" s="3"/>
    </row>
    <row r="258" spans="6:9">
      <c r="F258" s="3"/>
      <c r="G258" s="3"/>
      <c r="H258" s="3"/>
      <c r="I258" s="3"/>
    </row>
    <row r="259" spans="6:9">
      <c r="F259" s="3"/>
      <c r="G259" s="3"/>
      <c r="H259" s="3"/>
      <c r="I259" s="3"/>
    </row>
    <row r="260" spans="6:9">
      <c r="F260" s="3"/>
      <c r="G260" s="3"/>
      <c r="H260" s="3"/>
      <c r="I260" s="3"/>
    </row>
    <row r="261" spans="6:9">
      <c r="F261" s="3"/>
      <c r="G261" s="1"/>
      <c r="H261" s="3"/>
      <c r="I261" s="3"/>
    </row>
    <row r="262" spans="6:9">
      <c r="F262" s="3"/>
      <c r="G262" s="1"/>
      <c r="H262" s="3"/>
      <c r="I262" s="3"/>
    </row>
    <row r="263" spans="6:9">
      <c r="F263" s="3"/>
      <c r="G263" s="1"/>
      <c r="H263" s="3"/>
      <c r="I263" s="3"/>
    </row>
    <row r="264" spans="6:9">
      <c r="F264" s="3"/>
      <c r="G264" s="1"/>
      <c r="H264" s="3"/>
      <c r="I264" s="3"/>
    </row>
    <row r="265" spans="6:9">
      <c r="F265" s="3"/>
      <c r="G265" s="1"/>
      <c r="H265" s="3"/>
      <c r="I265" s="3"/>
    </row>
    <row r="266" spans="6:9">
      <c r="F266" s="3"/>
      <c r="G266" s="1"/>
      <c r="H266" s="3"/>
      <c r="I266" s="3"/>
    </row>
    <row r="267" spans="6:9">
      <c r="F267" s="3"/>
      <c r="G267" s="3"/>
      <c r="H267" s="3"/>
      <c r="I267" s="3"/>
    </row>
    <row r="268" spans="6:9">
      <c r="F268" s="3"/>
      <c r="G268" s="3"/>
      <c r="H268" s="3"/>
      <c r="I268" s="3"/>
    </row>
    <row r="269" spans="6:9">
      <c r="F269" s="3"/>
      <c r="G269" s="3"/>
      <c r="H269" s="3"/>
      <c r="I269" s="3"/>
    </row>
    <row r="270" spans="6:9">
      <c r="F270" s="3"/>
      <c r="G270" s="3"/>
      <c r="H270" s="3"/>
      <c r="I270" s="3"/>
    </row>
    <row r="271" spans="6:9">
      <c r="F271" s="3"/>
      <c r="G271" s="3"/>
      <c r="H271" s="3"/>
      <c r="I271" s="3"/>
    </row>
    <row r="272" spans="6:9">
      <c r="F272" s="3"/>
      <c r="G272" s="3"/>
      <c r="H272" s="3"/>
      <c r="I272" s="3"/>
    </row>
    <row r="273" spans="6:9">
      <c r="F273" s="3"/>
      <c r="G273" s="3"/>
      <c r="H273" s="3"/>
      <c r="I273" s="3"/>
    </row>
    <row r="274" spans="6:9">
      <c r="F274" s="3"/>
      <c r="G274" s="3"/>
      <c r="H274" s="3"/>
      <c r="I274" s="3"/>
    </row>
    <row r="275" spans="6:9">
      <c r="F275" s="3"/>
      <c r="G275" s="3"/>
      <c r="H275" s="3"/>
      <c r="I275" s="3"/>
    </row>
    <row r="276" spans="6:9">
      <c r="F276" s="3"/>
      <c r="G276" s="1"/>
      <c r="H276" s="3"/>
      <c r="I276" s="3"/>
    </row>
    <row r="277" spans="6:9">
      <c r="F277" s="3"/>
      <c r="G277" s="1"/>
      <c r="H277" s="3"/>
      <c r="I277" s="3"/>
    </row>
    <row r="278" spans="6:9">
      <c r="F278" s="3"/>
      <c r="G278" s="1"/>
      <c r="H278" s="3"/>
      <c r="I278" s="3"/>
    </row>
    <row r="279" spans="6:9">
      <c r="F279" s="3"/>
      <c r="G279" s="1"/>
      <c r="H279" s="3"/>
      <c r="I279" s="3"/>
    </row>
    <row r="280" spans="6:9">
      <c r="F280" s="3"/>
      <c r="G280" s="1"/>
      <c r="H280" s="3"/>
      <c r="I280" s="3"/>
    </row>
    <row r="281" spans="6:9">
      <c r="F281" s="3"/>
      <c r="G281" s="1"/>
      <c r="H281" s="3"/>
      <c r="I281" s="3"/>
    </row>
    <row r="282" spans="6:9">
      <c r="F282" s="3"/>
      <c r="G282" s="3"/>
      <c r="H282" s="3"/>
      <c r="I282" s="3"/>
    </row>
    <row r="283" spans="6:9">
      <c r="F283" s="3"/>
      <c r="G283" s="3"/>
      <c r="H283" s="3"/>
      <c r="I283" s="3"/>
    </row>
    <row r="284" spans="6:9">
      <c r="F284" s="3"/>
      <c r="G284" s="3"/>
      <c r="H284" s="3"/>
      <c r="I284" s="3"/>
    </row>
    <row r="285" spans="6:9">
      <c r="F285" s="3"/>
      <c r="G285" s="3"/>
      <c r="H285" s="3"/>
      <c r="I285" s="3"/>
    </row>
    <row r="286" spans="6:9">
      <c r="F286" s="3"/>
      <c r="G286" s="3"/>
      <c r="H286" s="3"/>
      <c r="I286" s="3"/>
    </row>
    <row r="287" spans="6:9">
      <c r="F287" s="3"/>
      <c r="G287" s="3"/>
      <c r="H287" s="3"/>
      <c r="I287" s="3"/>
    </row>
    <row r="288" spans="6:9">
      <c r="F288" s="3"/>
      <c r="G288" s="3"/>
      <c r="H288" s="3"/>
      <c r="I288" s="3"/>
    </row>
    <row r="289" spans="6:9">
      <c r="F289" s="3"/>
      <c r="G289" s="3"/>
      <c r="H289" s="3"/>
      <c r="I289" s="3"/>
    </row>
    <row r="290" spans="6:9">
      <c r="F290" s="3"/>
      <c r="G290" s="3"/>
      <c r="H290" s="3"/>
      <c r="I290" s="3"/>
    </row>
    <row r="291" spans="6:9">
      <c r="F291" s="3"/>
      <c r="G291" s="3"/>
      <c r="H291" s="3"/>
      <c r="I291" s="3"/>
    </row>
    <row r="292" spans="6:9">
      <c r="F292" s="3"/>
      <c r="G292" s="3"/>
      <c r="H292" s="3"/>
      <c r="I292" s="3"/>
    </row>
    <row r="293" spans="6:9">
      <c r="F293" s="3"/>
      <c r="G293" s="3"/>
      <c r="H293" s="3"/>
      <c r="I293" s="3"/>
    </row>
    <row r="294" spans="6:9">
      <c r="F294" s="3"/>
      <c r="G294" s="1"/>
      <c r="H294" s="3"/>
      <c r="I294" s="3"/>
    </row>
    <row r="295" spans="6:9">
      <c r="F295" s="3"/>
      <c r="G295" s="1"/>
      <c r="H295" s="3"/>
      <c r="I295" s="3"/>
    </row>
    <row r="296" spans="6:9">
      <c r="F296" s="3"/>
      <c r="G296" s="1"/>
      <c r="H296" s="3"/>
      <c r="I296" s="3"/>
    </row>
    <row r="297" spans="6:9">
      <c r="F297" s="3"/>
      <c r="G297" s="1"/>
      <c r="H297" s="3"/>
      <c r="I297" s="3"/>
    </row>
    <row r="298" spans="6:9">
      <c r="F298" s="3"/>
      <c r="G298" s="1"/>
      <c r="H298" s="3"/>
      <c r="I298" s="3"/>
    </row>
    <row r="299" spans="6:9">
      <c r="F299" s="3"/>
      <c r="G299" s="1"/>
      <c r="H299" s="3"/>
      <c r="I299" s="3"/>
    </row>
    <row r="300" spans="6:9">
      <c r="F300" s="3"/>
      <c r="G300" s="3"/>
      <c r="H300" s="3"/>
      <c r="I300" s="3"/>
    </row>
    <row r="301" spans="6:9">
      <c r="F301" s="3"/>
      <c r="G301" s="3"/>
      <c r="H301" s="3"/>
      <c r="I301" s="3"/>
    </row>
    <row r="302" spans="6:9">
      <c r="F302" s="3"/>
      <c r="G302" s="3"/>
      <c r="H302" s="3"/>
      <c r="I302" s="3"/>
    </row>
    <row r="303" spans="6:9">
      <c r="F303" s="3"/>
      <c r="G303" s="3"/>
      <c r="H303" s="3"/>
      <c r="I303" s="3"/>
    </row>
    <row r="304" spans="6:9">
      <c r="F304" s="3"/>
      <c r="G304" s="3"/>
      <c r="H304" s="3"/>
      <c r="I304" s="3"/>
    </row>
    <row r="305" spans="6:9">
      <c r="F305" s="3"/>
      <c r="G305" s="3"/>
      <c r="H305" s="3"/>
      <c r="I305" s="3"/>
    </row>
    <row r="306" spans="6:9">
      <c r="F306" s="3"/>
      <c r="G306" s="3"/>
      <c r="H306" s="3"/>
      <c r="I306" s="3"/>
    </row>
    <row r="307" spans="6:9">
      <c r="F307" s="3"/>
      <c r="G307" s="3"/>
      <c r="H307" s="3"/>
      <c r="I307" s="3"/>
    </row>
    <row r="308" spans="6:9">
      <c r="F308" s="3"/>
      <c r="G308" s="3"/>
      <c r="H308" s="3"/>
      <c r="I308" s="3"/>
    </row>
    <row r="309" spans="6:9">
      <c r="F309" s="3"/>
      <c r="G309" s="1"/>
      <c r="H309" s="3"/>
      <c r="I309" s="3"/>
    </row>
    <row r="310" spans="6:9">
      <c r="F310" s="3"/>
      <c r="G310" s="1"/>
      <c r="H310" s="3"/>
      <c r="I310" s="3"/>
    </row>
    <row r="311" spans="6:9">
      <c r="F311" s="3"/>
      <c r="G311" s="1"/>
      <c r="H311" s="3"/>
      <c r="I311" s="3"/>
    </row>
    <row r="312" spans="6:9">
      <c r="F312" s="3"/>
      <c r="G312" s="1"/>
      <c r="H312" s="3"/>
      <c r="I312" s="3"/>
    </row>
    <row r="313" spans="6:9">
      <c r="F313" s="3"/>
      <c r="G313" s="1"/>
      <c r="H313" s="3"/>
      <c r="I313" s="3"/>
    </row>
    <row r="314" spans="6:9">
      <c r="F314" s="3"/>
      <c r="G314" s="1"/>
      <c r="H314" s="3"/>
      <c r="I314" s="3"/>
    </row>
    <row r="315" spans="6:9">
      <c r="F315" s="3"/>
      <c r="G315" s="3"/>
      <c r="H315" s="3"/>
      <c r="I315" s="3"/>
    </row>
    <row r="316" spans="6:9">
      <c r="F316" s="3"/>
      <c r="G316" s="3"/>
      <c r="H316" s="3"/>
      <c r="I316" s="3"/>
    </row>
    <row r="317" spans="6:9">
      <c r="F317" s="3"/>
      <c r="G317" s="3"/>
      <c r="H317" s="3"/>
      <c r="I317" s="3"/>
    </row>
    <row r="318" spans="6:9">
      <c r="F318" s="3"/>
      <c r="G318" s="3"/>
      <c r="H318" s="3"/>
      <c r="I318" s="3"/>
    </row>
    <row r="319" spans="6:9">
      <c r="F319" s="3"/>
      <c r="G319" s="3"/>
      <c r="H319" s="3"/>
      <c r="I319" s="3"/>
    </row>
    <row r="320" spans="6:9">
      <c r="F320" s="3"/>
      <c r="G320" s="3"/>
      <c r="H320" s="3"/>
      <c r="I320" s="3"/>
    </row>
    <row r="321" spans="6:9">
      <c r="F321" s="3"/>
      <c r="G321" s="3"/>
      <c r="H321" s="3"/>
      <c r="I321" s="3"/>
    </row>
    <row r="322" spans="6:9">
      <c r="F322" s="3"/>
      <c r="G322" s="3"/>
      <c r="H322" s="3"/>
      <c r="I322" s="3"/>
    </row>
    <row r="323" spans="6:9">
      <c r="F323" s="3"/>
      <c r="G323" s="3"/>
      <c r="H323" s="3"/>
      <c r="I323" s="3"/>
    </row>
    <row r="324" spans="6:9">
      <c r="F324" s="3"/>
      <c r="G324" s="1"/>
      <c r="H324" s="3"/>
      <c r="I324" s="3"/>
    </row>
    <row r="325" spans="6:9">
      <c r="F325" s="3"/>
      <c r="G325" s="1"/>
      <c r="H325" s="3"/>
      <c r="I325" s="3"/>
    </row>
    <row r="326" spans="6:9">
      <c r="F326" s="3"/>
      <c r="G326" s="1"/>
      <c r="H326" s="3"/>
      <c r="I326" s="3"/>
    </row>
    <row r="327" spans="6:9">
      <c r="F327" s="3"/>
      <c r="G327" s="1"/>
      <c r="H327" s="3"/>
      <c r="I327" s="3"/>
    </row>
    <row r="328" spans="6:9">
      <c r="F328" s="3"/>
      <c r="G328" s="1"/>
      <c r="H328" s="3"/>
      <c r="I328" s="3"/>
    </row>
    <row r="329" spans="6:9">
      <c r="F329" s="3"/>
      <c r="G329" s="1"/>
      <c r="H329" s="3"/>
      <c r="I329" s="3"/>
    </row>
    <row r="330" spans="6:9">
      <c r="F330" s="3"/>
      <c r="G330" s="3"/>
      <c r="H330" s="3"/>
      <c r="I330" s="3"/>
    </row>
    <row r="331" spans="6:9">
      <c r="F331" s="3"/>
      <c r="G331" s="3"/>
      <c r="H331" s="3"/>
      <c r="I331" s="3"/>
    </row>
    <row r="332" spans="6:9">
      <c r="F332" s="3"/>
      <c r="G332" s="3"/>
      <c r="H332" s="3"/>
      <c r="I332" s="3"/>
    </row>
    <row r="333" spans="6:9">
      <c r="F333" s="3"/>
      <c r="G333" s="3"/>
      <c r="H333" s="3"/>
      <c r="I333" s="3"/>
    </row>
    <row r="334" spans="6:9">
      <c r="F334" s="3"/>
      <c r="G334" s="3"/>
      <c r="H334" s="3"/>
      <c r="I334" s="3"/>
    </row>
    <row r="335" spans="6:9">
      <c r="F335" s="3"/>
      <c r="G335" s="3"/>
      <c r="H335" s="3"/>
      <c r="I335" s="3"/>
    </row>
    <row r="336" spans="6:9">
      <c r="F336" s="3"/>
      <c r="G336" s="3"/>
      <c r="H336" s="3"/>
      <c r="I336" s="3"/>
    </row>
    <row r="337" spans="6:9">
      <c r="F337" s="3"/>
      <c r="G337" s="3"/>
      <c r="H337" s="3"/>
      <c r="I337" s="3"/>
    </row>
    <row r="338" spans="6:9">
      <c r="F338" s="3"/>
      <c r="G338" s="3"/>
      <c r="H338" s="3"/>
      <c r="I338" s="3"/>
    </row>
    <row r="339" spans="6:9">
      <c r="F339" s="3"/>
      <c r="G339" s="3"/>
      <c r="H339" s="3"/>
      <c r="I339" s="3"/>
    </row>
    <row r="340" spans="6:9">
      <c r="F340" s="3"/>
      <c r="G340" s="3"/>
      <c r="H340" s="3"/>
      <c r="I340" s="3"/>
    </row>
    <row r="341" spans="6:9">
      <c r="F341" s="3"/>
      <c r="G341" s="3"/>
      <c r="H341" s="3"/>
      <c r="I341" s="3"/>
    </row>
    <row r="342" spans="6:9">
      <c r="F342" s="3"/>
      <c r="G342" s="1"/>
      <c r="H342" s="3"/>
      <c r="I342" s="3"/>
    </row>
    <row r="343" spans="6:9">
      <c r="F343" s="3"/>
      <c r="G343" s="1"/>
      <c r="H343" s="3"/>
      <c r="I343" s="3"/>
    </row>
    <row r="344" spans="6:9">
      <c r="F344" s="3"/>
      <c r="G344" s="1"/>
      <c r="H344" s="3"/>
      <c r="I344" s="3"/>
    </row>
    <row r="345" spans="6:9">
      <c r="F345" s="3"/>
      <c r="G345" s="1"/>
      <c r="H345" s="3"/>
      <c r="I345" s="3"/>
    </row>
    <row r="346" spans="6:9">
      <c r="F346" s="3"/>
      <c r="G346" s="1"/>
      <c r="H346" s="3"/>
      <c r="I346" s="3"/>
    </row>
    <row r="347" spans="6:9">
      <c r="F347" s="3"/>
      <c r="G347" s="1"/>
      <c r="H347" s="3"/>
      <c r="I347" s="3"/>
    </row>
    <row r="348" spans="6:9">
      <c r="F348" s="3"/>
      <c r="G348" s="3"/>
      <c r="H348" s="3"/>
      <c r="I348" s="3"/>
    </row>
    <row r="349" spans="6:9">
      <c r="F349" s="3"/>
      <c r="G349" s="3"/>
      <c r="H349" s="3"/>
      <c r="I349" s="3"/>
    </row>
    <row r="350" spans="6:9">
      <c r="F350" s="3"/>
      <c r="G350" s="3"/>
      <c r="H350" s="3"/>
      <c r="I350" s="3"/>
    </row>
    <row r="351" spans="6:9">
      <c r="F351" s="3"/>
      <c r="G351" s="3"/>
      <c r="H351" s="3"/>
      <c r="I351" s="3"/>
    </row>
    <row r="352" spans="6:9">
      <c r="F352" s="3"/>
      <c r="G352" s="3"/>
      <c r="H352" s="3"/>
      <c r="I352" s="3"/>
    </row>
    <row r="353" spans="6:9">
      <c r="F353" s="3"/>
      <c r="G353" s="3"/>
      <c r="H353" s="3"/>
      <c r="I353" s="3"/>
    </row>
    <row r="354" spans="6:9">
      <c r="F354" s="3"/>
      <c r="G354" s="3"/>
      <c r="H354" s="3"/>
      <c r="I354" s="3"/>
    </row>
    <row r="355" spans="6:9">
      <c r="F355" s="3"/>
      <c r="G355" s="3"/>
      <c r="H355" s="3"/>
      <c r="I355" s="3"/>
    </row>
    <row r="356" spans="6:9">
      <c r="F356" s="3"/>
      <c r="G356" s="3"/>
      <c r="H356" s="3"/>
      <c r="I356" s="3"/>
    </row>
    <row r="357" spans="6:9">
      <c r="F357" s="3"/>
      <c r="G357" s="1"/>
      <c r="H357" s="3"/>
      <c r="I357" s="3"/>
    </row>
    <row r="358" spans="6:9">
      <c r="F358" s="3"/>
      <c r="G358" s="1"/>
      <c r="H358" s="3"/>
      <c r="I358" s="3"/>
    </row>
    <row r="359" spans="6:9">
      <c r="F359" s="3"/>
      <c r="G359" s="1"/>
      <c r="H359" s="3"/>
      <c r="I359" s="3"/>
    </row>
    <row r="360" spans="6:9">
      <c r="F360" s="3"/>
      <c r="G360" s="1"/>
      <c r="H360" s="3"/>
      <c r="I360" s="3"/>
    </row>
    <row r="361" spans="6:9">
      <c r="F361" s="3"/>
      <c r="G361" s="1"/>
      <c r="H361" s="3"/>
      <c r="I361" s="3"/>
    </row>
    <row r="362" spans="6:9">
      <c r="F362" s="3"/>
      <c r="G362" s="1"/>
      <c r="H362" s="3"/>
      <c r="I362" s="3"/>
    </row>
    <row r="363" spans="6:9">
      <c r="F363" s="3"/>
      <c r="G363" s="3"/>
      <c r="H363" s="3"/>
      <c r="I363" s="3"/>
    </row>
    <row r="364" spans="6:9">
      <c r="F364" s="3"/>
      <c r="G364" s="3"/>
      <c r="H364" s="3"/>
      <c r="I364" s="3"/>
    </row>
    <row r="365" spans="6:9">
      <c r="F365" s="3"/>
      <c r="G365" s="3"/>
      <c r="H365" s="3"/>
      <c r="I365" s="3"/>
    </row>
    <row r="366" spans="6:9">
      <c r="F366" s="3"/>
      <c r="G366" s="3"/>
      <c r="H366" s="3"/>
      <c r="I366" s="3"/>
    </row>
    <row r="367" spans="6:9">
      <c r="F367" s="3"/>
      <c r="G367" s="3"/>
      <c r="H367" s="3"/>
      <c r="I367" s="3"/>
    </row>
    <row r="368" spans="6:9">
      <c r="F368" s="3"/>
      <c r="G368" s="3"/>
      <c r="H368" s="3"/>
      <c r="I368" s="3"/>
    </row>
    <row r="369" spans="6:9">
      <c r="F369" s="3"/>
      <c r="G369" s="3"/>
      <c r="H369" s="3"/>
      <c r="I369" s="3"/>
    </row>
    <row r="370" spans="6:9">
      <c r="F370" s="3"/>
      <c r="G370" s="3"/>
      <c r="H370" s="3"/>
      <c r="I370" s="3"/>
    </row>
    <row r="371" spans="6:9">
      <c r="F371" s="3"/>
      <c r="G371" s="3"/>
      <c r="H371" s="3"/>
      <c r="I371" s="3"/>
    </row>
    <row r="372" spans="6:9">
      <c r="F372" s="3"/>
      <c r="G372" s="1"/>
      <c r="H372" s="3"/>
      <c r="I372" s="3"/>
    </row>
    <row r="373" spans="6:9">
      <c r="F373" s="3"/>
      <c r="G373" s="1"/>
      <c r="H373" s="3"/>
      <c r="I373" s="3"/>
    </row>
    <row r="374" spans="6:9">
      <c r="F374" s="3"/>
      <c r="G374" s="1"/>
      <c r="H374" s="3"/>
      <c r="I374" s="3"/>
    </row>
    <row r="375" spans="6:9">
      <c r="F375" s="3"/>
      <c r="G375" s="1"/>
      <c r="H375" s="3"/>
      <c r="I375" s="3"/>
    </row>
    <row r="376" spans="6:9">
      <c r="F376" s="3"/>
      <c r="G376" s="1"/>
      <c r="H376" s="3"/>
      <c r="I376" s="3"/>
    </row>
    <row r="377" spans="6:9">
      <c r="F377" s="3"/>
      <c r="G377" s="1"/>
      <c r="H377" s="3"/>
      <c r="I377" s="3"/>
    </row>
    <row r="378" spans="6:9">
      <c r="F378" s="3"/>
      <c r="G378" s="3"/>
      <c r="H378" s="3"/>
      <c r="I378" s="3"/>
    </row>
    <row r="379" spans="6:9">
      <c r="F379" s="3"/>
      <c r="G379" s="3"/>
      <c r="H379" s="3"/>
      <c r="I379" s="3"/>
    </row>
    <row r="380" spans="6:9">
      <c r="F380" s="3"/>
      <c r="G380" s="3"/>
      <c r="H380" s="3"/>
      <c r="I380" s="3"/>
    </row>
    <row r="381" spans="6:9">
      <c r="F381" s="3"/>
      <c r="G381" s="3"/>
      <c r="H381" s="3"/>
      <c r="I381" s="3"/>
    </row>
    <row r="382" spans="6:9">
      <c r="F382" s="3"/>
      <c r="G382" s="3"/>
      <c r="H382" s="3"/>
      <c r="I382" s="3"/>
    </row>
    <row r="383" spans="6:9">
      <c r="F383" s="3"/>
      <c r="G383" s="3"/>
      <c r="H383" s="3"/>
      <c r="I383" s="3"/>
    </row>
    <row r="384" spans="6:9">
      <c r="F384" s="3"/>
      <c r="G384" s="3"/>
      <c r="H384" s="3"/>
      <c r="I384" s="3"/>
    </row>
    <row r="385" spans="6:9">
      <c r="F385" s="3"/>
      <c r="G385" s="3"/>
      <c r="H385" s="3"/>
      <c r="I385" s="3"/>
    </row>
    <row r="386" spans="6:9">
      <c r="F386" s="3"/>
      <c r="G386" s="3"/>
      <c r="H386" s="3"/>
      <c r="I386" s="3"/>
    </row>
    <row r="387" spans="6:9">
      <c r="F387" s="3"/>
      <c r="G387" s="3"/>
      <c r="H387" s="3"/>
      <c r="I387" s="3"/>
    </row>
    <row r="388" spans="6:9">
      <c r="F388" s="3"/>
      <c r="G388" s="3"/>
      <c r="H388" s="3"/>
      <c r="I388" s="3"/>
    </row>
    <row r="389" spans="6:9">
      <c r="F389" s="3"/>
      <c r="G389" s="3"/>
      <c r="H389" s="3"/>
      <c r="I389" s="3"/>
    </row>
    <row r="390" spans="6:9">
      <c r="F390" s="3"/>
      <c r="G390" s="1"/>
      <c r="H390" s="3"/>
      <c r="I390" s="3"/>
    </row>
    <row r="391" spans="6:9">
      <c r="F391" s="3"/>
      <c r="G391" s="1"/>
      <c r="H391" s="3"/>
      <c r="I391" s="3"/>
    </row>
    <row r="392" spans="6:9">
      <c r="F392" s="3"/>
      <c r="G392" s="1"/>
      <c r="H392" s="3"/>
      <c r="I392" s="3"/>
    </row>
    <row r="393" spans="6:9">
      <c r="F393" s="3"/>
      <c r="G393" s="1"/>
      <c r="H393" s="3"/>
      <c r="I393" s="3"/>
    </row>
    <row r="394" spans="6:9">
      <c r="F394" s="3"/>
      <c r="G394" s="1"/>
      <c r="H394" s="3"/>
      <c r="I394" s="3"/>
    </row>
    <row r="395" spans="6:9">
      <c r="F395" s="3"/>
      <c r="G395" s="1"/>
      <c r="H395" s="3"/>
      <c r="I395" s="3"/>
    </row>
    <row r="396" spans="6:9">
      <c r="F396" s="3"/>
      <c r="G396" s="3"/>
      <c r="H396" s="3"/>
      <c r="I396" s="3"/>
    </row>
    <row r="397" spans="6:9">
      <c r="F397" s="3"/>
      <c r="G397" s="3"/>
      <c r="H397" s="3"/>
      <c r="I397" s="3"/>
    </row>
    <row r="398" spans="6:9">
      <c r="F398" s="3"/>
      <c r="G398" s="3"/>
      <c r="H398" s="3"/>
      <c r="I398" s="3"/>
    </row>
    <row r="399" spans="6:9">
      <c r="F399" s="3"/>
      <c r="G399" s="3"/>
      <c r="H399" s="3"/>
      <c r="I399" s="3"/>
    </row>
    <row r="400" spans="6:9">
      <c r="F400" s="3"/>
      <c r="G400" s="3"/>
      <c r="H400" s="3"/>
      <c r="I400" s="3"/>
    </row>
    <row r="401" spans="6:9">
      <c r="F401" s="3"/>
      <c r="G401" s="3"/>
      <c r="H401" s="3"/>
      <c r="I401" s="3"/>
    </row>
    <row r="402" spans="6:9">
      <c r="F402" s="3"/>
      <c r="G402" s="3"/>
      <c r="H402" s="3"/>
      <c r="I402" s="3"/>
    </row>
    <row r="403" spans="6:9">
      <c r="F403" s="3"/>
      <c r="G403" s="3"/>
      <c r="H403" s="3"/>
      <c r="I403" s="3"/>
    </row>
    <row r="404" spans="6:9">
      <c r="F404" s="3"/>
      <c r="G404" s="3"/>
      <c r="H404" s="3"/>
      <c r="I404" s="3"/>
    </row>
    <row r="405" spans="6:9">
      <c r="F405" s="3"/>
      <c r="G405" s="1"/>
      <c r="H405" s="3"/>
      <c r="I405" s="3"/>
    </row>
    <row r="406" spans="6:9">
      <c r="F406" s="3"/>
      <c r="G406" s="1"/>
      <c r="H406" s="3"/>
      <c r="I406" s="3"/>
    </row>
    <row r="407" spans="6:9">
      <c r="F407" s="3"/>
      <c r="G407" s="1"/>
      <c r="H407" s="3"/>
      <c r="I407" s="3"/>
    </row>
    <row r="408" spans="6:9">
      <c r="F408" s="3"/>
      <c r="G408" s="1"/>
      <c r="H408" s="3"/>
      <c r="I408" s="3"/>
    </row>
    <row r="409" spans="6:9">
      <c r="F409" s="3"/>
      <c r="G409" s="1"/>
      <c r="H409" s="3"/>
      <c r="I409" s="3"/>
    </row>
    <row r="410" spans="6:9">
      <c r="F410" s="3"/>
      <c r="G410" s="1"/>
      <c r="H410" s="3"/>
      <c r="I410" s="3"/>
    </row>
    <row r="411" spans="6:9">
      <c r="F411" s="3"/>
      <c r="G411" s="3"/>
      <c r="H411" s="3"/>
      <c r="I411" s="3"/>
    </row>
    <row r="412" spans="6:9">
      <c r="F412" s="3"/>
      <c r="G412" s="3"/>
      <c r="H412" s="3"/>
      <c r="I412" s="3"/>
    </row>
    <row r="413" spans="6:9">
      <c r="F413" s="3"/>
      <c r="G413" s="3"/>
      <c r="H413" s="3"/>
      <c r="I413" s="3"/>
    </row>
    <row r="414" spans="6:9">
      <c r="F414" s="3"/>
      <c r="G414" s="3"/>
      <c r="H414" s="3"/>
      <c r="I414" s="3"/>
    </row>
    <row r="415" spans="6:9">
      <c r="F415" s="3"/>
      <c r="G415" s="3"/>
      <c r="H415" s="3"/>
      <c r="I415" s="3"/>
    </row>
    <row r="416" spans="6:9">
      <c r="F416" s="3"/>
      <c r="G416" s="3"/>
      <c r="H416" s="3"/>
      <c r="I416" s="3"/>
    </row>
    <row r="417" spans="6:9">
      <c r="F417" s="3"/>
      <c r="G417" s="3"/>
      <c r="H417" s="3"/>
      <c r="I417" s="3"/>
    </row>
    <row r="418" spans="6:9">
      <c r="F418" s="3"/>
      <c r="G418" s="3"/>
      <c r="H418" s="3"/>
      <c r="I418" s="3"/>
    </row>
    <row r="419" spans="6:9">
      <c r="F419" s="3"/>
      <c r="G419" s="3"/>
      <c r="H419" s="3"/>
      <c r="I419" s="3"/>
    </row>
    <row r="420" spans="6:9">
      <c r="F420" s="3"/>
      <c r="G420" s="1"/>
      <c r="H420" s="3"/>
      <c r="I420" s="3"/>
    </row>
    <row r="421" spans="6:9">
      <c r="F421" s="3"/>
      <c r="G421" s="1"/>
      <c r="H421" s="3"/>
      <c r="I421" s="3"/>
    </row>
    <row r="422" spans="6:9">
      <c r="F422" s="3"/>
      <c r="G422" s="1"/>
      <c r="H422" s="3"/>
      <c r="I422" s="3"/>
    </row>
    <row r="423" spans="6:9">
      <c r="F423" s="3"/>
      <c r="G423" s="1"/>
      <c r="H423" s="3"/>
      <c r="I423" s="3"/>
    </row>
    <row r="424" spans="6:9">
      <c r="F424" s="3"/>
      <c r="G424" s="1"/>
      <c r="H424" s="3"/>
      <c r="I424" s="3"/>
    </row>
    <row r="425" spans="6:9">
      <c r="F425" s="3"/>
      <c r="G425" s="1"/>
      <c r="H425" s="3"/>
      <c r="I425" s="3"/>
    </row>
    <row r="426" spans="6:9">
      <c r="F426" s="3"/>
      <c r="G426" s="3"/>
      <c r="H426" s="3"/>
      <c r="I426" s="3"/>
    </row>
    <row r="427" spans="6:9">
      <c r="F427" s="3"/>
      <c r="G427" s="3"/>
      <c r="H427" s="3"/>
      <c r="I427" s="3"/>
    </row>
    <row r="428" spans="6:9">
      <c r="F428" s="3"/>
      <c r="G428" s="3"/>
      <c r="H428" s="3"/>
      <c r="I428" s="3"/>
    </row>
    <row r="429" spans="6:9">
      <c r="F429" s="3"/>
      <c r="G429" s="3"/>
      <c r="H429" s="3"/>
      <c r="I429" s="3"/>
    </row>
    <row r="430" spans="6:9">
      <c r="F430" s="3"/>
      <c r="G430" s="3"/>
      <c r="H430" s="3"/>
      <c r="I430" s="3"/>
    </row>
    <row r="431" spans="6:9">
      <c r="F431" s="3"/>
      <c r="G431" s="3"/>
      <c r="H431" s="3"/>
      <c r="I431" s="3"/>
    </row>
    <row r="432" spans="6:9">
      <c r="F432" s="3"/>
      <c r="G432" s="3"/>
      <c r="H432" s="3"/>
      <c r="I432" s="3"/>
    </row>
    <row r="433" spans="6:9">
      <c r="F433" s="3"/>
      <c r="G433" s="3"/>
      <c r="H433" s="3"/>
      <c r="I433" s="3"/>
    </row>
    <row r="434" spans="6:9">
      <c r="F434" s="3"/>
      <c r="G434" s="3"/>
      <c r="H434" s="3"/>
      <c r="I434" s="3"/>
    </row>
    <row r="435" spans="6:9">
      <c r="F435" s="3"/>
      <c r="G435" s="3"/>
      <c r="H435" s="3"/>
      <c r="I435" s="3"/>
    </row>
    <row r="436" spans="6:9">
      <c r="F436" s="3"/>
      <c r="G436" s="3"/>
      <c r="H436" s="3"/>
      <c r="I436" s="3"/>
    </row>
    <row r="437" spans="6:9">
      <c r="F437" s="3"/>
      <c r="G437" s="3"/>
      <c r="H437" s="3"/>
      <c r="I437" s="3"/>
    </row>
    <row r="438" spans="6:9">
      <c r="F438" s="3"/>
      <c r="G438" s="1"/>
      <c r="H438" s="3"/>
      <c r="I438" s="3"/>
    </row>
    <row r="439" spans="6:9">
      <c r="F439" s="3"/>
      <c r="G439" s="1"/>
      <c r="H439" s="3"/>
      <c r="I439" s="3"/>
    </row>
    <row r="440" spans="6:9">
      <c r="F440" s="3"/>
      <c r="G440" s="1"/>
      <c r="H440" s="3"/>
      <c r="I440" s="3"/>
    </row>
    <row r="441" spans="6:9">
      <c r="F441" s="3"/>
      <c r="G441" s="1"/>
      <c r="H441" s="3"/>
      <c r="I441" s="3"/>
    </row>
    <row r="442" spans="6:9">
      <c r="F442" s="3"/>
      <c r="G442" s="1"/>
      <c r="H442" s="3"/>
      <c r="I442" s="3"/>
    </row>
    <row r="443" spans="6:9">
      <c r="F443" s="3"/>
      <c r="G443" s="1"/>
      <c r="H443" s="3"/>
      <c r="I443" s="3"/>
    </row>
    <row r="444" spans="6:9">
      <c r="F444" s="3"/>
      <c r="G444" s="3"/>
      <c r="H444" s="3"/>
      <c r="I444" s="3"/>
    </row>
    <row r="445" spans="6:9">
      <c r="F445" s="3"/>
      <c r="G445" s="3"/>
      <c r="H445" s="3"/>
      <c r="I445" s="3"/>
    </row>
    <row r="446" spans="6:9">
      <c r="F446" s="3"/>
      <c r="G446" s="3"/>
      <c r="H446" s="3"/>
      <c r="I446" s="3"/>
    </row>
    <row r="447" spans="6:9">
      <c r="F447" s="3"/>
      <c r="G447" s="3"/>
      <c r="H447" s="3"/>
      <c r="I447" s="3"/>
    </row>
    <row r="448" spans="6:9">
      <c r="F448" s="3"/>
      <c r="G448" s="3"/>
      <c r="H448" s="3"/>
      <c r="I448" s="3"/>
    </row>
    <row r="449" spans="6:9">
      <c r="F449" s="3"/>
      <c r="G449" s="3"/>
      <c r="H449" s="3"/>
      <c r="I449" s="3"/>
    </row>
    <row r="450" spans="6:9">
      <c r="F450" s="3"/>
      <c r="G450" s="3"/>
      <c r="H450" s="3"/>
      <c r="I450" s="3"/>
    </row>
    <row r="451" spans="6:9">
      <c r="F451" s="3"/>
      <c r="G451" s="3"/>
      <c r="H451" s="3"/>
      <c r="I451" s="3"/>
    </row>
    <row r="452" spans="6:9">
      <c r="F452" s="3"/>
      <c r="G452" s="3"/>
      <c r="H452" s="3"/>
      <c r="I452" s="3"/>
    </row>
    <row r="453" spans="6:9">
      <c r="F453" s="3"/>
      <c r="G453" s="1"/>
      <c r="H453" s="3"/>
      <c r="I453" s="3"/>
    </row>
    <row r="454" spans="6:9">
      <c r="F454" s="3"/>
      <c r="G454" s="1"/>
      <c r="H454" s="3"/>
      <c r="I454" s="3"/>
    </row>
    <row r="455" spans="6:9">
      <c r="F455" s="3"/>
      <c r="G455" s="1"/>
      <c r="H455" s="3"/>
      <c r="I455" s="3"/>
    </row>
    <row r="456" spans="6:9">
      <c r="F456" s="3"/>
      <c r="G456" s="1"/>
      <c r="H456" s="3"/>
      <c r="I456" s="3"/>
    </row>
    <row r="457" spans="6:9">
      <c r="F457" s="3"/>
      <c r="G457" s="1"/>
      <c r="H457" s="3"/>
      <c r="I457" s="3"/>
    </row>
    <row r="458" spans="6:9">
      <c r="F458" s="3"/>
      <c r="G458" s="1"/>
      <c r="H458" s="3"/>
      <c r="I458" s="3"/>
    </row>
    <row r="459" spans="6:9">
      <c r="F459" s="3"/>
      <c r="G459" s="3"/>
      <c r="H459" s="3"/>
      <c r="I459" s="3"/>
    </row>
    <row r="460" spans="6:9">
      <c r="F460" s="3"/>
      <c r="G460" s="3"/>
      <c r="H460" s="3"/>
      <c r="I460" s="3"/>
    </row>
    <row r="461" spans="6:9">
      <c r="F461" s="3"/>
      <c r="G461" s="3"/>
      <c r="H461" s="3"/>
      <c r="I461" s="3"/>
    </row>
    <row r="462" spans="6:9">
      <c r="F462" s="3"/>
      <c r="G462" s="3"/>
      <c r="H462" s="3"/>
      <c r="I462" s="3"/>
    </row>
    <row r="463" spans="6:9">
      <c r="F463" s="3"/>
      <c r="G463" s="3"/>
      <c r="H463" s="3"/>
      <c r="I463" s="3"/>
    </row>
    <row r="464" spans="6:9">
      <c r="F464" s="3"/>
      <c r="G464" s="3"/>
      <c r="H464" s="3"/>
      <c r="I464" s="3"/>
    </row>
    <row r="465" spans="6:9">
      <c r="F465" s="3"/>
      <c r="G465" s="3"/>
      <c r="H465" s="3"/>
      <c r="I465" s="3"/>
    </row>
    <row r="466" spans="6:9">
      <c r="F466" s="3"/>
      <c r="G466" s="3"/>
      <c r="H466" s="3"/>
      <c r="I466" s="3"/>
    </row>
    <row r="467" spans="6:9">
      <c r="F467" s="3"/>
      <c r="G467" s="3"/>
      <c r="H467" s="3"/>
      <c r="I467" s="3"/>
    </row>
    <row r="468" spans="6:9">
      <c r="F468" s="3"/>
      <c r="G468" s="1"/>
      <c r="H468" s="3"/>
      <c r="I468" s="3"/>
    </row>
    <row r="469" spans="6:9">
      <c r="F469" s="3"/>
      <c r="G469" s="1"/>
      <c r="H469" s="3"/>
      <c r="I469" s="3"/>
    </row>
    <row r="470" spans="6:9">
      <c r="F470" s="3"/>
      <c r="G470" s="1"/>
      <c r="H470" s="3"/>
      <c r="I470" s="3"/>
    </row>
    <row r="471" spans="6:9">
      <c r="F471" s="3"/>
      <c r="G471" s="1"/>
      <c r="H471" s="3"/>
      <c r="I471" s="3"/>
    </row>
    <row r="472" spans="6:9">
      <c r="F472" s="3"/>
      <c r="G472" s="1"/>
      <c r="H472" s="3"/>
      <c r="I472" s="3"/>
    </row>
    <row r="473" spans="6:9">
      <c r="F473" s="3"/>
      <c r="G473" s="1"/>
      <c r="H473" s="3"/>
      <c r="I473" s="3"/>
    </row>
    <row r="474" spans="6:9">
      <c r="F474" s="3"/>
      <c r="G474" s="3"/>
      <c r="H474" s="3"/>
      <c r="I474" s="3"/>
    </row>
    <row r="475" spans="6:9">
      <c r="F475" s="3"/>
      <c r="G475" s="3"/>
      <c r="H475" s="3"/>
      <c r="I475" s="3"/>
    </row>
    <row r="476" spans="6:9">
      <c r="F476" s="3"/>
      <c r="G476" s="3"/>
      <c r="H476" s="3"/>
      <c r="I476" s="3"/>
    </row>
    <row r="477" spans="6:9">
      <c r="F477" s="3"/>
      <c r="G477" s="3"/>
      <c r="H477" s="3"/>
      <c r="I477" s="3"/>
    </row>
    <row r="478" spans="6:9">
      <c r="F478" s="3"/>
      <c r="G478" s="3"/>
      <c r="H478" s="3"/>
      <c r="I478" s="3"/>
    </row>
    <row r="479" spans="6:9">
      <c r="F479" s="3"/>
      <c r="G479" s="3"/>
      <c r="H479" s="3"/>
      <c r="I479" s="3"/>
    </row>
    <row r="480" spans="6:9">
      <c r="F480" s="3"/>
      <c r="G480" s="3"/>
      <c r="H480" s="3"/>
      <c r="I480" s="3"/>
    </row>
    <row r="481" spans="6:9">
      <c r="F481" s="3"/>
      <c r="G481" s="3"/>
      <c r="H481" s="3"/>
      <c r="I481" s="3"/>
    </row>
    <row r="482" spans="6:9">
      <c r="F482" s="3"/>
      <c r="G482" s="3"/>
      <c r="H482" s="3"/>
      <c r="I482" s="3"/>
    </row>
    <row r="483" spans="6:9">
      <c r="F483" s="3"/>
      <c r="G483" s="3"/>
      <c r="H483" s="3"/>
      <c r="I483" s="3"/>
    </row>
    <row r="484" spans="6:9">
      <c r="F484" s="3"/>
      <c r="G484" s="3"/>
      <c r="H484" s="3"/>
      <c r="I484" s="3"/>
    </row>
    <row r="485" spans="6:9">
      <c r="F485" s="3"/>
      <c r="G485" s="3"/>
      <c r="H485" s="3"/>
      <c r="I485" s="3"/>
    </row>
    <row r="486" spans="6:9">
      <c r="F486" s="3"/>
      <c r="G486" s="1"/>
      <c r="H486" s="3"/>
      <c r="I486" s="3"/>
    </row>
    <row r="487" spans="6:9">
      <c r="F487" s="3"/>
      <c r="G487" s="1"/>
      <c r="H487" s="3"/>
      <c r="I487" s="3"/>
    </row>
    <row r="488" spans="6:9">
      <c r="F488" s="3"/>
      <c r="G488" s="1"/>
      <c r="H488" s="3"/>
      <c r="I488" s="3"/>
    </row>
    <row r="489" spans="6:9">
      <c r="F489" s="3"/>
      <c r="G489" s="1"/>
      <c r="H489" s="3"/>
      <c r="I489" s="3"/>
    </row>
    <row r="490" spans="6:9">
      <c r="F490" s="3"/>
      <c r="G490" s="1"/>
      <c r="H490" s="3"/>
      <c r="I490" s="3"/>
    </row>
    <row r="491" spans="6:9">
      <c r="F491" s="3"/>
      <c r="G491" s="1"/>
      <c r="H491" s="3"/>
      <c r="I491" s="3"/>
    </row>
    <row r="492" spans="6:9">
      <c r="F492" s="3"/>
      <c r="G492" s="3"/>
      <c r="H492" s="3"/>
      <c r="I492" s="3"/>
    </row>
    <row r="493" spans="6:9">
      <c r="F493" s="3"/>
      <c r="G493" s="3"/>
      <c r="H493" s="3"/>
      <c r="I493" s="3"/>
    </row>
    <row r="494" spans="6:9">
      <c r="F494" s="3"/>
      <c r="G494" s="3"/>
      <c r="H494" s="3"/>
      <c r="I494" s="3"/>
    </row>
    <row r="495" spans="6:9">
      <c r="F495" s="3"/>
      <c r="G495" s="3"/>
      <c r="H495" s="3"/>
      <c r="I495" s="3"/>
    </row>
    <row r="496" spans="6:9">
      <c r="F496" s="3"/>
      <c r="G496" s="3"/>
      <c r="H496" s="3"/>
      <c r="I496" s="3"/>
    </row>
    <row r="497" spans="6:9">
      <c r="F497" s="3"/>
      <c r="G497" s="3"/>
      <c r="H497" s="3"/>
      <c r="I497" s="3"/>
    </row>
    <row r="498" spans="6:9">
      <c r="F498" s="3"/>
      <c r="G498" s="3"/>
      <c r="H498" s="3"/>
      <c r="I498" s="3"/>
    </row>
    <row r="499" spans="6:9">
      <c r="F499" s="3"/>
      <c r="G499" s="3"/>
      <c r="H499" s="3"/>
      <c r="I499" s="3"/>
    </row>
    <row r="500" spans="6:9">
      <c r="F500" s="3"/>
      <c r="G500" s="3"/>
      <c r="H500" s="3"/>
      <c r="I500" s="3"/>
    </row>
    <row r="501" spans="6:9">
      <c r="F501" s="3"/>
      <c r="G501" s="1"/>
      <c r="H501" s="3"/>
      <c r="I501" s="3"/>
    </row>
    <row r="502" spans="6:9">
      <c r="F502" s="3"/>
      <c r="G502" s="1"/>
      <c r="H502" s="3"/>
      <c r="I502" s="3"/>
    </row>
    <row r="503" spans="6:9">
      <c r="F503" s="3"/>
      <c r="G503" s="1"/>
      <c r="H503" s="3"/>
      <c r="I503" s="3"/>
    </row>
    <row r="504" spans="6:9">
      <c r="F504" s="3"/>
      <c r="G504" s="1"/>
      <c r="H504" s="3"/>
      <c r="I504" s="3"/>
    </row>
    <row r="505" spans="6:9">
      <c r="F505" s="3"/>
      <c r="G505" s="1"/>
      <c r="H505" s="3"/>
      <c r="I505" s="3"/>
    </row>
    <row r="506" spans="6:9">
      <c r="F506" s="3"/>
      <c r="G506" s="1"/>
      <c r="H506" s="3"/>
      <c r="I506" s="3"/>
    </row>
    <row r="507" spans="6:9">
      <c r="F507" s="3"/>
      <c r="G507" s="3"/>
      <c r="H507" s="3"/>
      <c r="I507" s="3"/>
    </row>
    <row r="508" spans="6:9">
      <c r="F508" s="3"/>
      <c r="G508" s="3"/>
      <c r="H508" s="3"/>
      <c r="I508" s="3"/>
    </row>
    <row r="509" spans="6:9">
      <c r="F509" s="3"/>
      <c r="G509" s="3"/>
      <c r="H509" s="3"/>
      <c r="I509" s="3"/>
    </row>
    <row r="510" spans="6:9">
      <c r="F510" s="3"/>
      <c r="G510" s="3"/>
      <c r="H510" s="3"/>
      <c r="I510" s="3"/>
    </row>
    <row r="511" spans="6:9">
      <c r="F511" s="3"/>
      <c r="G511" s="3"/>
      <c r="H511" s="3"/>
      <c r="I511" s="3"/>
    </row>
    <row r="512" spans="6:9">
      <c r="F512" s="3"/>
      <c r="G512" s="3"/>
      <c r="H512" s="3"/>
      <c r="I512" s="3"/>
    </row>
    <row r="513" spans="6:9">
      <c r="F513" s="3"/>
      <c r="G513" s="3"/>
      <c r="H513" s="3"/>
      <c r="I513" s="3"/>
    </row>
    <row r="514" spans="6:9">
      <c r="F514" s="3"/>
      <c r="G514" s="3"/>
      <c r="H514" s="3"/>
      <c r="I514" s="3"/>
    </row>
    <row r="515" spans="6:9">
      <c r="F515" s="3"/>
      <c r="G515" s="3"/>
      <c r="H515" s="3"/>
      <c r="I515" s="3"/>
    </row>
    <row r="516" spans="6:9">
      <c r="F516" s="3"/>
      <c r="G516" s="1"/>
      <c r="H516" s="3"/>
      <c r="I516" s="3"/>
    </row>
    <row r="517" spans="6:9">
      <c r="F517" s="3"/>
      <c r="G517" s="1"/>
      <c r="H517" s="3"/>
      <c r="I517" s="3"/>
    </row>
    <row r="518" spans="6:9">
      <c r="F518" s="3"/>
      <c r="G518" s="1"/>
      <c r="H518" s="3"/>
      <c r="I518" s="3"/>
    </row>
    <row r="519" spans="6:9">
      <c r="F519" s="3"/>
      <c r="G519" s="1"/>
      <c r="H519" s="3"/>
      <c r="I519" s="3"/>
    </row>
    <row r="520" spans="6:9">
      <c r="F520" s="3"/>
      <c r="G520" s="1"/>
      <c r="H520" s="3"/>
      <c r="I520" s="3"/>
    </row>
    <row r="521" spans="6:9">
      <c r="F521" s="3"/>
      <c r="G521" s="1"/>
      <c r="H521" s="3"/>
      <c r="I521" s="3"/>
    </row>
    <row r="522" spans="6:9">
      <c r="F522" s="3"/>
      <c r="G522" s="3"/>
      <c r="H522" s="3"/>
      <c r="I522" s="3"/>
    </row>
    <row r="523" spans="6:9">
      <c r="F523" s="3"/>
      <c r="G523" s="3"/>
      <c r="H523" s="3"/>
      <c r="I523" s="3"/>
    </row>
    <row r="524" spans="6:9">
      <c r="F524" s="3"/>
      <c r="G524" s="3"/>
      <c r="H524" s="3"/>
      <c r="I524" s="3"/>
    </row>
    <row r="525" spans="6:9">
      <c r="F525" s="3"/>
      <c r="G525" s="3"/>
      <c r="H525" s="3"/>
      <c r="I525" s="3"/>
    </row>
    <row r="526" spans="6:9">
      <c r="F526" s="3"/>
      <c r="G526" s="3"/>
      <c r="H526" s="3"/>
      <c r="I526" s="3"/>
    </row>
    <row r="527" spans="6:9">
      <c r="F527" s="3"/>
      <c r="G527" s="3"/>
      <c r="H527" s="3"/>
      <c r="I527" s="3"/>
    </row>
    <row r="528" spans="6:9">
      <c r="F528" s="3"/>
      <c r="G528" s="3"/>
      <c r="H528" s="3"/>
      <c r="I528" s="3"/>
    </row>
    <row r="529" spans="6:9">
      <c r="F529" s="3"/>
      <c r="G529" s="3"/>
      <c r="H529" s="3"/>
      <c r="I529" s="3"/>
    </row>
    <row r="530" spans="6:9">
      <c r="F530" s="3"/>
      <c r="G530" s="3"/>
      <c r="H530" s="3"/>
      <c r="I530" s="3"/>
    </row>
    <row r="531" spans="6:9">
      <c r="F531" s="3"/>
      <c r="G531" s="3"/>
      <c r="H531" s="3"/>
      <c r="I531" s="3"/>
    </row>
    <row r="532" spans="6:9">
      <c r="F532" s="3"/>
      <c r="G532" s="3"/>
      <c r="H532" s="3"/>
      <c r="I532" s="3"/>
    </row>
    <row r="533" spans="6:9">
      <c r="F533" s="3"/>
      <c r="G533" s="3"/>
      <c r="H533" s="3"/>
      <c r="I533" s="3"/>
    </row>
    <row r="534" spans="6:9">
      <c r="F534" s="3"/>
      <c r="G534" s="1"/>
      <c r="H534" s="3"/>
      <c r="I534" s="3"/>
    </row>
    <row r="535" spans="6:9">
      <c r="F535" s="3"/>
      <c r="G535" s="1"/>
      <c r="H535" s="3"/>
      <c r="I535" s="3"/>
    </row>
    <row r="536" spans="6:9">
      <c r="F536" s="3"/>
      <c r="G536" s="1"/>
      <c r="H536" s="3"/>
      <c r="I536" s="3"/>
    </row>
    <row r="537" spans="6:9">
      <c r="F537" s="3"/>
      <c r="G537" s="1"/>
      <c r="H537" s="3"/>
      <c r="I537" s="3"/>
    </row>
    <row r="538" spans="6:9">
      <c r="F538" s="3"/>
      <c r="G538" s="1"/>
      <c r="H538" s="3"/>
      <c r="I538" s="3"/>
    </row>
    <row r="539" spans="6:9">
      <c r="F539" s="3"/>
      <c r="G539" s="1"/>
      <c r="H539" s="3"/>
      <c r="I539" s="3"/>
    </row>
    <row r="540" spans="6:9">
      <c r="F540" s="3"/>
      <c r="G540" s="3"/>
      <c r="H540" s="3"/>
      <c r="I540" s="3"/>
    </row>
    <row r="541" spans="6:9">
      <c r="F541" s="3"/>
      <c r="G541" s="3"/>
      <c r="H541" s="3"/>
      <c r="I541" s="3"/>
    </row>
    <row r="542" spans="6:9">
      <c r="F542" s="3"/>
      <c r="G542" s="3"/>
      <c r="H542" s="3"/>
      <c r="I542" s="3"/>
    </row>
    <row r="543" spans="6:9">
      <c r="F543" s="3"/>
      <c r="G543" s="3"/>
      <c r="H543" s="3"/>
      <c r="I543" s="3"/>
    </row>
    <row r="544" spans="6:9">
      <c r="F544" s="3"/>
      <c r="G544" s="3"/>
      <c r="H544" s="3"/>
      <c r="I544" s="3"/>
    </row>
    <row r="545" spans="6:9">
      <c r="F545" s="3"/>
      <c r="G545" s="3"/>
      <c r="H545" s="3"/>
      <c r="I545" s="3"/>
    </row>
    <row r="546" spans="6:9">
      <c r="F546" s="3"/>
      <c r="G546" s="3"/>
      <c r="H546" s="3"/>
      <c r="I546" s="3"/>
    </row>
    <row r="547" spans="6:9">
      <c r="F547" s="3"/>
      <c r="G547" s="3"/>
      <c r="H547" s="3"/>
      <c r="I547" s="3"/>
    </row>
    <row r="548" spans="6:9">
      <c r="F548" s="3"/>
      <c r="G548" s="3"/>
      <c r="H548" s="3"/>
      <c r="I548" s="3"/>
    </row>
    <row r="549" spans="6:9">
      <c r="F549" s="3"/>
      <c r="G549" s="1"/>
      <c r="H549" s="3"/>
      <c r="I549" s="3"/>
    </row>
    <row r="550" spans="6:9">
      <c r="F550" s="3"/>
      <c r="G550" s="1"/>
      <c r="H550" s="3"/>
      <c r="I550" s="3"/>
    </row>
    <row r="551" spans="6:9">
      <c r="F551" s="3"/>
      <c r="G551" s="1"/>
      <c r="H551" s="3"/>
      <c r="I551" s="3"/>
    </row>
    <row r="552" spans="6:9">
      <c r="F552" s="3"/>
      <c r="G552" s="1"/>
      <c r="H552" s="3"/>
      <c r="I552" s="3"/>
    </row>
    <row r="553" spans="6:9">
      <c r="F553" s="3"/>
      <c r="G553" s="1"/>
      <c r="H553" s="3"/>
      <c r="I553" s="3"/>
    </row>
    <row r="554" spans="6:9">
      <c r="F554" s="3"/>
      <c r="G554" s="1"/>
      <c r="H554" s="3"/>
      <c r="I554" s="3"/>
    </row>
    <row r="555" spans="6:9">
      <c r="F555" s="3"/>
      <c r="G555" s="3"/>
      <c r="H555" s="3"/>
      <c r="I555" s="3"/>
    </row>
    <row r="556" spans="6:9">
      <c r="F556" s="3"/>
      <c r="G556" s="3"/>
      <c r="H556" s="3"/>
      <c r="I556" s="3"/>
    </row>
    <row r="557" spans="6:9">
      <c r="F557" s="3"/>
      <c r="G557" s="3"/>
      <c r="H557" s="3"/>
      <c r="I557" s="3"/>
    </row>
    <row r="558" spans="6:9">
      <c r="F558" s="3"/>
      <c r="G558" s="3"/>
      <c r="H558" s="3"/>
      <c r="I558" s="3"/>
    </row>
    <row r="559" spans="6:9">
      <c r="F559" s="3"/>
      <c r="G559" s="3"/>
      <c r="H559" s="3"/>
      <c r="I559" s="3"/>
    </row>
    <row r="560" spans="6:9">
      <c r="F560" s="3"/>
      <c r="G560" s="3"/>
      <c r="H560" s="3"/>
      <c r="I560" s="3"/>
    </row>
    <row r="561" spans="6:9">
      <c r="F561" s="3"/>
      <c r="G561" s="3"/>
      <c r="H561" s="3"/>
      <c r="I561" s="3"/>
    </row>
    <row r="562" spans="6:9">
      <c r="F562" s="3"/>
      <c r="G562" s="3"/>
      <c r="H562" s="3"/>
      <c r="I562" s="3"/>
    </row>
    <row r="563" spans="6:9">
      <c r="F563" s="3"/>
      <c r="G563" s="3"/>
      <c r="H563" s="3"/>
      <c r="I563" s="3"/>
    </row>
    <row r="564" spans="6:9">
      <c r="F564" s="3"/>
      <c r="G564" s="1"/>
      <c r="H564" s="3"/>
      <c r="I564" s="3"/>
    </row>
    <row r="565" spans="6:9">
      <c r="F565" s="3"/>
      <c r="G565" s="1"/>
      <c r="H565" s="3"/>
      <c r="I565" s="3"/>
    </row>
    <row r="566" spans="6:9">
      <c r="F566" s="3"/>
      <c r="G566" s="1"/>
      <c r="H566" s="3"/>
      <c r="I566" s="3"/>
    </row>
    <row r="567" spans="6:9">
      <c r="F567" s="3"/>
      <c r="G567" s="1"/>
      <c r="H567" s="3"/>
      <c r="I567" s="3"/>
    </row>
    <row r="568" spans="6:9">
      <c r="F568" s="3"/>
      <c r="G568" s="1"/>
      <c r="H568" s="3"/>
      <c r="I568" s="3"/>
    </row>
    <row r="569" spans="6:9">
      <c r="F569" s="3"/>
      <c r="G569" s="1"/>
      <c r="H569" s="3"/>
      <c r="I569" s="3"/>
    </row>
    <row r="570" spans="6:9">
      <c r="F570" s="3"/>
      <c r="G570" s="3"/>
      <c r="H570" s="3"/>
      <c r="I570" s="3"/>
    </row>
    <row r="571" spans="6:9">
      <c r="F571" s="3"/>
      <c r="G571" s="3"/>
      <c r="H571" s="3"/>
      <c r="I571" s="3"/>
    </row>
    <row r="572" spans="6:9">
      <c r="F572" s="3"/>
      <c r="G572" s="3"/>
      <c r="H572" s="3"/>
      <c r="I572" s="3"/>
    </row>
    <row r="573" spans="6:9">
      <c r="F573" s="3"/>
      <c r="G573" s="3"/>
      <c r="H573" s="3"/>
      <c r="I573" s="3"/>
    </row>
    <row r="574" spans="6:9">
      <c r="F574" s="3"/>
      <c r="G574" s="3"/>
      <c r="H574" s="3"/>
      <c r="I574" s="3"/>
    </row>
    <row r="575" spans="6:9">
      <c r="F575" s="3"/>
      <c r="G575" s="3"/>
      <c r="H575" s="3"/>
      <c r="I575" s="3"/>
    </row>
    <row r="576" spans="6:9">
      <c r="F576" s="3"/>
      <c r="G576" s="3"/>
      <c r="H576" s="3"/>
      <c r="I576" s="3"/>
    </row>
    <row r="577" spans="6:9">
      <c r="F577" s="3"/>
      <c r="G577" s="3"/>
      <c r="H577" s="3"/>
      <c r="I577" s="3"/>
    </row>
    <row r="578" spans="6:9">
      <c r="F578" s="3"/>
      <c r="G578" s="3"/>
      <c r="H578" s="3"/>
      <c r="I578" s="3"/>
    </row>
    <row r="579" spans="6:9">
      <c r="F579" s="3"/>
      <c r="G579" s="3"/>
      <c r="H579" s="3"/>
      <c r="I579" s="3"/>
    </row>
    <row r="580" spans="6:9">
      <c r="F580" s="3"/>
      <c r="G580" s="3"/>
      <c r="H580" s="3"/>
      <c r="I580" s="3"/>
    </row>
    <row r="581" spans="6:9">
      <c r="F581" s="3"/>
      <c r="G581" s="3"/>
      <c r="H581" s="3"/>
      <c r="I581" s="3"/>
    </row>
    <row r="582" spans="6:9">
      <c r="F582" s="3"/>
      <c r="G582" s="1"/>
      <c r="H582" s="3"/>
      <c r="I582" s="3"/>
    </row>
    <row r="583" spans="6:9">
      <c r="F583" s="3"/>
      <c r="G583" s="1"/>
      <c r="H583" s="3"/>
      <c r="I583" s="3"/>
    </row>
    <row r="584" spans="6:9">
      <c r="F584" s="3"/>
      <c r="G584" s="1"/>
      <c r="H584" s="3"/>
      <c r="I584" s="3"/>
    </row>
    <row r="585" spans="6:9">
      <c r="F585" s="3"/>
      <c r="G585" s="1"/>
      <c r="H585" s="3"/>
      <c r="I585" s="3"/>
    </row>
    <row r="586" spans="6:9">
      <c r="F586" s="3"/>
      <c r="G586" s="1"/>
      <c r="H586" s="3"/>
      <c r="I586" s="3"/>
    </row>
    <row r="587" spans="6:9">
      <c r="F587" s="3"/>
      <c r="G587" s="1"/>
      <c r="H587" s="3"/>
      <c r="I587" s="3"/>
    </row>
    <row r="588" spans="6:9">
      <c r="F588" s="3"/>
      <c r="G588" s="3"/>
      <c r="H588" s="3"/>
      <c r="I588" s="3"/>
    </row>
    <row r="589" spans="6:9">
      <c r="F589" s="3"/>
      <c r="G589" s="3"/>
      <c r="H589" s="3"/>
      <c r="I589" s="3"/>
    </row>
    <row r="590" spans="6:9">
      <c r="F590" s="3"/>
      <c r="G590" s="3"/>
      <c r="H590" s="3"/>
      <c r="I590" s="3"/>
    </row>
    <row r="591" spans="6:9">
      <c r="F591" s="3"/>
      <c r="G591" s="3"/>
      <c r="H591" s="3"/>
      <c r="I591" s="3"/>
    </row>
    <row r="592" spans="6:9">
      <c r="F592" s="3"/>
      <c r="G592" s="3"/>
      <c r="H592" s="3"/>
      <c r="I592" s="3"/>
    </row>
    <row r="593" spans="6:9">
      <c r="F593" s="3"/>
      <c r="G593" s="3"/>
      <c r="H593" s="3"/>
      <c r="I593" s="3"/>
    </row>
    <row r="594" spans="6:9">
      <c r="F594" s="3"/>
      <c r="G594" s="3"/>
      <c r="H594" s="3"/>
      <c r="I594" s="3"/>
    </row>
    <row r="595" spans="6:9">
      <c r="F595" s="3"/>
      <c r="G595" s="3"/>
      <c r="H595" s="3"/>
      <c r="I595" s="3"/>
    </row>
    <row r="596" spans="6:9">
      <c r="F596" s="3"/>
      <c r="G596" s="3"/>
      <c r="H596" s="3"/>
      <c r="I596" s="3"/>
    </row>
    <row r="597" spans="6:9">
      <c r="F597" s="3"/>
      <c r="G597" s="1"/>
      <c r="H597" s="3"/>
      <c r="I597" s="3"/>
    </row>
    <row r="598" spans="6:9">
      <c r="F598" s="3"/>
      <c r="G598" s="1"/>
      <c r="H598" s="3"/>
      <c r="I598" s="3"/>
    </row>
    <row r="599" spans="6:9">
      <c r="F599" s="3"/>
      <c r="G599" s="1"/>
      <c r="H599" s="3"/>
      <c r="I599" s="3"/>
    </row>
    <row r="600" spans="6:9">
      <c r="F600" s="3"/>
      <c r="G600" s="1"/>
      <c r="H600" s="3"/>
      <c r="I600" s="3"/>
    </row>
    <row r="601" spans="6:9">
      <c r="F601" s="3"/>
      <c r="G601" s="1"/>
      <c r="H601" s="3"/>
      <c r="I601" s="3"/>
    </row>
    <row r="602" spans="6:9">
      <c r="F602" s="3"/>
      <c r="G602" s="1"/>
      <c r="H602" s="3"/>
      <c r="I602" s="3"/>
    </row>
    <row r="603" spans="6:9">
      <c r="F603" s="3"/>
      <c r="G603" s="3"/>
      <c r="H603" s="3"/>
      <c r="I603" s="3"/>
    </row>
    <row r="604" spans="6:9">
      <c r="F604" s="3"/>
      <c r="G604" s="3"/>
      <c r="H604" s="3"/>
      <c r="I604" s="3"/>
    </row>
    <row r="605" spans="6:9">
      <c r="F605" s="3"/>
      <c r="G605" s="3"/>
      <c r="H605" s="3"/>
      <c r="I605" s="3"/>
    </row>
    <row r="606" spans="6:9">
      <c r="F606" s="3"/>
      <c r="G606" s="3"/>
      <c r="H606" s="3"/>
      <c r="I606" s="3"/>
    </row>
    <row r="607" spans="6:9">
      <c r="F607" s="3"/>
      <c r="G607" s="3"/>
      <c r="H607" s="3"/>
      <c r="I607" s="3"/>
    </row>
    <row r="608" spans="6:9">
      <c r="F608" s="3"/>
      <c r="G608" s="3"/>
      <c r="H608" s="3"/>
      <c r="I608" s="3"/>
    </row>
    <row r="609" spans="6:9">
      <c r="F609" s="3"/>
      <c r="G609" s="3"/>
      <c r="H609" s="3"/>
      <c r="I609" s="3"/>
    </row>
    <row r="610" spans="6:9">
      <c r="F610" s="3"/>
      <c r="G610" s="3"/>
      <c r="H610" s="3"/>
      <c r="I610" s="3"/>
    </row>
    <row r="611" spans="6:9">
      <c r="F611" s="3"/>
      <c r="G611" s="3"/>
      <c r="H611" s="3"/>
      <c r="I611" s="3"/>
    </row>
    <row r="612" spans="6:9">
      <c r="F612" s="3"/>
      <c r="G612" s="1"/>
      <c r="H612" s="3"/>
      <c r="I612" s="3"/>
    </row>
    <row r="613" spans="6:9">
      <c r="F613" s="3"/>
      <c r="G613" s="1"/>
      <c r="H613" s="3"/>
      <c r="I613" s="3"/>
    </row>
    <row r="614" spans="6:9">
      <c r="F614" s="3"/>
      <c r="G614" s="1"/>
      <c r="H614" s="3"/>
      <c r="I614" s="3"/>
    </row>
    <row r="615" spans="6:9">
      <c r="F615" s="3"/>
      <c r="G615" s="1"/>
      <c r="H615" s="3"/>
      <c r="I615" s="3"/>
    </row>
    <row r="616" spans="6:9">
      <c r="F616" s="3"/>
      <c r="G616" s="1"/>
      <c r="H616" s="3"/>
      <c r="I616" s="3"/>
    </row>
    <row r="617" spans="6:9">
      <c r="F617" s="3"/>
      <c r="G617" s="1"/>
      <c r="H617" s="3"/>
      <c r="I617" s="3"/>
    </row>
    <row r="618" spans="6:9">
      <c r="F618" s="3"/>
      <c r="G618" s="3"/>
      <c r="H618" s="3"/>
      <c r="I618" s="3"/>
    </row>
    <row r="619" spans="6:9">
      <c r="F619" s="3"/>
      <c r="G619" s="3"/>
      <c r="H619" s="3"/>
      <c r="I619" s="3"/>
    </row>
    <row r="620" spans="6:9">
      <c r="F620" s="3"/>
      <c r="G620" s="3"/>
      <c r="H620" s="3"/>
      <c r="I620" s="3"/>
    </row>
    <row r="621" spans="6:9">
      <c r="F621" s="3"/>
      <c r="G621" s="3"/>
      <c r="H621" s="3"/>
      <c r="I621" s="3"/>
    </row>
    <row r="622" spans="6:9">
      <c r="F622" s="3"/>
      <c r="G622" s="3"/>
      <c r="H622" s="3"/>
      <c r="I622" s="3"/>
    </row>
    <row r="623" spans="6:9">
      <c r="F623" s="3"/>
      <c r="G623" s="3"/>
      <c r="H623" s="3"/>
      <c r="I623" s="3"/>
    </row>
    <row r="624" spans="6:9">
      <c r="F624" s="3"/>
      <c r="G624" s="3"/>
      <c r="H624" s="3"/>
      <c r="I624" s="3"/>
    </row>
    <row r="625" spans="6:9">
      <c r="F625" s="3"/>
      <c r="G625" s="3"/>
      <c r="H625" s="3"/>
      <c r="I625" s="3"/>
    </row>
    <row r="626" spans="6:9">
      <c r="F626" s="3"/>
      <c r="G626" s="3"/>
      <c r="H626" s="3"/>
      <c r="I626" s="3"/>
    </row>
    <row r="627" spans="6:9">
      <c r="F627" s="3"/>
      <c r="G627" s="3"/>
      <c r="H627" s="3"/>
      <c r="I627" s="3"/>
    </row>
    <row r="628" spans="6:9">
      <c r="F628" s="3"/>
      <c r="G628" s="3"/>
      <c r="H628" s="3"/>
      <c r="I628" s="3"/>
    </row>
    <row r="629" spans="6:9">
      <c r="F629" s="3"/>
      <c r="G629" s="3"/>
      <c r="H629" s="3"/>
      <c r="I629" s="3"/>
    </row>
    <row r="630" spans="6:9">
      <c r="F630" s="3"/>
      <c r="G630" s="1"/>
      <c r="H630" s="3"/>
      <c r="I630" s="3"/>
    </row>
    <row r="631" spans="6:9">
      <c r="F631" s="3"/>
      <c r="G631" s="1"/>
      <c r="H631" s="3"/>
      <c r="I631" s="3"/>
    </row>
    <row r="632" spans="6:9">
      <c r="F632" s="3"/>
      <c r="G632" s="1"/>
      <c r="H632" s="3"/>
      <c r="I632" s="3"/>
    </row>
    <row r="633" spans="6:9">
      <c r="F633" s="3"/>
      <c r="G633" s="1"/>
      <c r="H633" s="3"/>
      <c r="I633" s="3"/>
    </row>
    <row r="634" spans="6:9">
      <c r="F634" s="3"/>
      <c r="G634" s="1"/>
      <c r="H634" s="3"/>
      <c r="I634" s="3"/>
    </row>
    <row r="635" spans="6:9">
      <c r="F635" s="3"/>
      <c r="G635" s="1"/>
      <c r="H635" s="3"/>
      <c r="I635" s="3"/>
    </row>
    <row r="636" spans="6:9">
      <c r="F636" s="3"/>
      <c r="G636" s="3"/>
      <c r="H636" s="3"/>
      <c r="I636" s="3"/>
    </row>
    <row r="637" spans="6:9">
      <c r="F637" s="3"/>
      <c r="G637" s="3"/>
      <c r="H637" s="3"/>
      <c r="I637" s="3"/>
    </row>
    <row r="638" spans="6:9">
      <c r="F638" s="3"/>
      <c r="G638" s="3"/>
      <c r="H638" s="3"/>
      <c r="I638" s="3"/>
    </row>
    <row r="639" spans="6:9">
      <c r="F639" s="3"/>
      <c r="G639" s="3"/>
      <c r="H639" s="3"/>
      <c r="I639" s="3"/>
    </row>
    <row r="640" spans="6:9">
      <c r="F640" s="3"/>
      <c r="G640" s="3"/>
      <c r="H640" s="3"/>
      <c r="I640" s="3"/>
    </row>
    <row r="641" spans="6:9">
      <c r="F641" s="3"/>
      <c r="G641" s="3"/>
      <c r="H641" s="3"/>
      <c r="I641" s="3"/>
    </row>
    <row r="642" spans="6:9">
      <c r="F642" s="3"/>
      <c r="G642" s="3"/>
      <c r="H642" s="3"/>
      <c r="I642" s="3"/>
    </row>
    <row r="643" spans="6:9">
      <c r="F643" s="3"/>
      <c r="G643" s="3"/>
      <c r="H643" s="3"/>
      <c r="I643" s="3"/>
    </row>
    <row r="644" spans="6:9">
      <c r="F644" s="3"/>
      <c r="G644" s="3"/>
      <c r="H644" s="3"/>
      <c r="I644" s="3"/>
    </row>
    <row r="645" spans="6:9">
      <c r="F645" s="3"/>
      <c r="G645" s="1"/>
      <c r="H645" s="3"/>
      <c r="I645" s="3"/>
    </row>
    <row r="646" spans="6:9">
      <c r="F646" s="3"/>
      <c r="G646" s="1"/>
      <c r="H646" s="3"/>
      <c r="I646" s="3"/>
    </row>
    <row r="647" spans="6:9">
      <c r="F647" s="3"/>
      <c r="G647" s="1"/>
      <c r="H647" s="3"/>
      <c r="I647" s="3"/>
    </row>
    <row r="648" spans="6:9">
      <c r="F648" s="3"/>
      <c r="G648" s="1"/>
      <c r="H648" s="3"/>
      <c r="I648" s="3"/>
    </row>
    <row r="649" spans="6:9">
      <c r="F649" s="3"/>
      <c r="G649" s="1"/>
      <c r="H649" s="3"/>
      <c r="I649" s="3"/>
    </row>
    <row r="650" spans="6:9">
      <c r="F650" s="3"/>
      <c r="G650" s="1"/>
      <c r="H650" s="3"/>
      <c r="I650" s="3"/>
    </row>
    <row r="651" spans="6:9">
      <c r="F651" s="3"/>
      <c r="G651" s="3"/>
      <c r="H651" s="3"/>
      <c r="I651" s="3"/>
    </row>
    <row r="652" spans="6:9">
      <c r="F652" s="3"/>
      <c r="G652" s="3"/>
      <c r="H652" s="3"/>
      <c r="I652" s="3"/>
    </row>
    <row r="653" spans="6:9">
      <c r="F653" s="3"/>
      <c r="G653" s="3"/>
      <c r="H653" s="3"/>
      <c r="I653" s="3"/>
    </row>
    <row r="654" spans="6:9">
      <c r="F654" s="3"/>
      <c r="G654" s="3"/>
      <c r="H654" s="3"/>
      <c r="I654" s="3"/>
    </row>
    <row r="655" spans="6:9">
      <c r="F655" s="3"/>
      <c r="G655" s="3"/>
      <c r="H655" s="3"/>
      <c r="I655" s="3"/>
    </row>
    <row r="656" spans="6:9">
      <c r="F656" s="3"/>
      <c r="G656" s="3"/>
      <c r="H656" s="3"/>
      <c r="I656" s="3"/>
    </row>
    <row r="657" spans="6:9">
      <c r="F657" s="3"/>
      <c r="G657" s="3"/>
      <c r="H657" s="3"/>
      <c r="I657" s="3"/>
    </row>
    <row r="658" spans="6:9">
      <c r="F658" s="3"/>
      <c r="G658" s="3"/>
      <c r="H658" s="3"/>
      <c r="I658" s="3"/>
    </row>
    <row r="659" spans="6:9">
      <c r="F659" s="3"/>
      <c r="G659" s="3"/>
      <c r="H659" s="3"/>
      <c r="I659" s="3"/>
    </row>
    <row r="660" spans="6:9">
      <c r="F660" s="3"/>
      <c r="G660" s="1"/>
      <c r="H660" s="3"/>
      <c r="I660" s="3"/>
    </row>
    <row r="661" spans="6:9">
      <c r="F661" s="3"/>
      <c r="G661" s="1"/>
      <c r="H661" s="3"/>
      <c r="I661" s="3"/>
    </row>
    <row r="662" spans="6:9">
      <c r="F662" s="3"/>
      <c r="G662" s="1"/>
      <c r="H662" s="3"/>
      <c r="I662" s="3"/>
    </row>
    <row r="663" spans="6:9">
      <c r="F663" s="3"/>
      <c r="G663" s="1"/>
      <c r="H663" s="3"/>
      <c r="I663" s="3"/>
    </row>
    <row r="664" spans="6:9">
      <c r="F664" s="3"/>
      <c r="G664" s="1"/>
      <c r="H664" s="3"/>
      <c r="I664" s="3"/>
    </row>
    <row r="665" spans="6:9">
      <c r="F665" s="3"/>
      <c r="G665" s="1"/>
      <c r="H665" s="3"/>
      <c r="I665" s="3"/>
    </row>
    <row r="666" spans="6:9">
      <c r="F666" s="3"/>
      <c r="G666" s="3"/>
      <c r="H666" s="3"/>
      <c r="I666" s="3"/>
    </row>
    <row r="667" spans="6:9">
      <c r="F667" s="3"/>
      <c r="G667" s="3"/>
      <c r="H667" s="3"/>
      <c r="I667" s="3"/>
    </row>
    <row r="668" spans="6:9">
      <c r="F668" s="3"/>
      <c r="G668" s="3"/>
      <c r="H668" s="3"/>
      <c r="I668" s="3"/>
    </row>
    <row r="669" spans="6:9">
      <c r="F669" s="3"/>
      <c r="G669" s="3"/>
      <c r="H669" s="3"/>
      <c r="I669" s="3"/>
    </row>
    <row r="670" spans="6:9">
      <c r="F670" s="3"/>
      <c r="G670" s="3"/>
      <c r="H670" s="3"/>
      <c r="I670" s="3"/>
    </row>
    <row r="671" spans="6:9">
      <c r="F671" s="3"/>
      <c r="G671" s="3"/>
      <c r="H671" s="3"/>
      <c r="I671" s="3"/>
    </row>
    <row r="672" spans="6:9">
      <c r="F672" s="3"/>
      <c r="G672" s="3"/>
      <c r="H672" s="3"/>
      <c r="I672" s="3"/>
    </row>
    <row r="673" spans="6:9">
      <c r="F673" s="3"/>
      <c r="G673" s="3"/>
      <c r="H673" s="3"/>
      <c r="I673" s="3"/>
    </row>
    <row r="674" spans="6:9">
      <c r="F674" s="3"/>
      <c r="G674" s="3"/>
      <c r="H674" s="3"/>
      <c r="I674" s="3"/>
    </row>
  </sheetData>
  <mergeCells count="12">
    <mergeCell ref="B38:F38"/>
    <mergeCell ref="B39:F39"/>
    <mergeCell ref="B40:F40"/>
    <mergeCell ref="A3:A4"/>
    <mergeCell ref="B3:B4"/>
    <mergeCell ref="C3:C4"/>
    <mergeCell ref="E3:E4"/>
    <mergeCell ref="A20:A21"/>
    <mergeCell ref="B20:B21"/>
    <mergeCell ref="C20:C21"/>
    <mergeCell ref="E20:E21"/>
    <mergeCell ref="A35:F36"/>
  </mergeCells>
  <printOptions horizontalCentered="1"/>
  <pageMargins left="0.39000000000000007" right="0.39000000000000007" top="1.71" bottom="0.98" header="0.51" footer="0.51"/>
  <pageSetup paperSize="9" scale="61" fitToHeight="0" orientation="portrait" r:id="rId1"/>
  <headerFooter>
    <oddHeader>&amp;L&amp;"Garamond Premr Pro,Regular"&amp;20&amp;K001892PRICE LIST 2018&amp;16
&amp;20Navigare Yachting - Croatia&amp;16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62"/>
  <sheetViews>
    <sheetView topLeftCell="G10" zoomScaleNormal="100" zoomScaleSheetLayoutView="90" workbookViewId="0">
      <selection activeCell="G2" sqref="G2"/>
    </sheetView>
  </sheetViews>
  <sheetFormatPr defaultColWidth="8.625" defaultRowHeight="12.75"/>
  <cols>
    <col min="1" max="2" width="9.875" style="1" hidden="1" customWidth="1"/>
    <col min="3" max="3" width="3.625" style="1" hidden="1" customWidth="1"/>
    <col min="4" max="6" width="4.875" style="1" hidden="1" customWidth="1"/>
    <col min="7" max="7" width="33.875" style="1" customWidth="1"/>
    <col min="8" max="8" width="11.125" style="1" customWidth="1"/>
    <col min="9" max="9" width="9.5" style="1" customWidth="1"/>
    <col min="10" max="10" width="15.875" style="1" customWidth="1"/>
    <col min="11" max="11" width="8.125" style="1" customWidth="1"/>
    <col min="12" max="18" width="11.625" style="1" customWidth="1"/>
    <col min="19" max="19" width="12" style="1" customWidth="1"/>
    <col min="20" max="21" width="11.375" style="1" customWidth="1"/>
    <col min="22" max="16384" width="8.625" style="1"/>
  </cols>
  <sheetData>
    <row r="1" spans="1:21" ht="21">
      <c r="A1" s="41"/>
      <c r="B1" s="41"/>
      <c r="C1" s="41"/>
      <c r="D1" s="41"/>
      <c r="E1" s="41"/>
      <c r="F1" s="41"/>
      <c r="G1" s="9" t="s">
        <v>658</v>
      </c>
      <c r="H1" s="154"/>
      <c r="I1" s="154"/>
      <c r="J1" s="10"/>
      <c r="K1" s="10"/>
      <c r="L1" s="155"/>
      <c r="M1" s="155"/>
      <c r="N1" s="155"/>
      <c r="O1" s="155"/>
      <c r="P1" s="155"/>
      <c r="Q1" s="155"/>
      <c r="R1" s="155"/>
      <c r="S1" s="156"/>
      <c r="T1" s="11"/>
      <c r="U1" s="11"/>
    </row>
    <row r="2" spans="1:21" ht="15.75">
      <c r="G2" s="12" t="s">
        <v>318</v>
      </c>
      <c r="H2" s="157"/>
      <c r="I2" s="157"/>
      <c r="J2" s="12"/>
      <c r="K2" s="12"/>
      <c r="L2" s="158"/>
      <c r="M2" s="158"/>
      <c r="N2" s="158"/>
      <c r="O2" s="158"/>
      <c r="P2" s="158"/>
      <c r="Q2" s="158"/>
      <c r="R2" s="158"/>
      <c r="S2" s="158"/>
      <c r="T2" s="12"/>
      <c r="U2" s="12"/>
    </row>
    <row r="3" spans="1:21" ht="15.75" customHeight="1">
      <c r="G3" s="458" t="s">
        <v>3</v>
      </c>
      <c r="H3" s="446" t="s">
        <v>98</v>
      </c>
      <c r="I3" s="393" t="s">
        <v>146</v>
      </c>
      <c r="J3" s="393" t="s">
        <v>11</v>
      </c>
      <c r="K3" s="393" t="s">
        <v>151</v>
      </c>
      <c r="L3" s="159" t="s">
        <v>319</v>
      </c>
      <c r="M3" s="159" t="s">
        <v>320</v>
      </c>
      <c r="N3" s="159" t="s">
        <v>321</v>
      </c>
      <c r="O3" s="391" t="s">
        <v>322</v>
      </c>
      <c r="P3" s="159" t="s">
        <v>323</v>
      </c>
      <c r="Q3" s="391" t="s">
        <v>324</v>
      </c>
      <c r="R3" s="391" t="s">
        <v>325</v>
      </c>
      <c r="S3" s="391" t="s">
        <v>326</v>
      </c>
      <c r="T3" s="456" t="s">
        <v>502</v>
      </c>
      <c r="U3" s="446" t="s">
        <v>99</v>
      </c>
    </row>
    <row r="4" spans="1:21" ht="15.75">
      <c r="G4" s="459"/>
      <c r="H4" s="447"/>
      <c r="I4" s="394"/>
      <c r="J4" s="394"/>
      <c r="K4" s="394"/>
      <c r="L4" s="159" t="s">
        <v>327</v>
      </c>
      <c r="M4" s="159" t="s">
        <v>328</v>
      </c>
      <c r="N4" s="159" t="s">
        <v>329</v>
      </c>
      <c r="O4" s="392"/>
      <c r="P4" s="159" t="s">
        <v>330</v>
      </c>
      <c r="Q4" s="392"/>
      <c r="R4" s="392"/>
      <c r="S4" s="392"/>
      <c r="T4" s="457"/>
      <c r="U4" s="447"/>
    </row>
    <row r="5" spans="1:21" ht="15.75" customHeight="1">
      <c r="G5" s="448" t="s">
        <v>12</v>
      </c>
      <c r="H5" s="449"/>
      <c r="I5" s="160"/>
      <c r="J5" s="161"/>
      <c r="K5" s="161"/>
      <c r="L5" s="162"/>
      <c r="M5" s="162"/>
      <c r="N5" s="162"/>
      <c r="O5" s="162"/>
      <c r="P5" s="162"/>
      <c r="Q5" s="162"/>
      <c r="R5" s="162"/>
      <c r="S5" s="162"/>
      <c r="T5" s="163"/>
      <c r="U5" s="164"/>
    </row>
    <row r="6" spans="1:21" ht="15.75" customHeight="1">
      <c r="G6" s="130" t="s">
        <v>496</v>
      </c>
      <c r="H6" s="282">
        <v>2018</v>
      </c>
      <c r="I6" s="57" t="s">
        <v>197</v>
      </c>
      <c r="J6" s="282" t="s">
        <v>240</v>
      </c>
      <c r="K6" s="57">
        <v>12</v>
      </c>
      <c r="L6" s="16">
        <v>8500</v>
      </c>
      <c r="M6" s="17">
        <v>10000</v>
      </c>
      <c r="N6" s="16">
        <v>11500</v>
      </c>
      <c r="O6" s="17">
        <v>13000</v>
      </c>
      <c r="P6" s="16">
        <v>14500</v>
      </c>
      <c r="Q6" s="17">
        <v>16200</v>
      </c>
      <c r="R6" s="16">
        <v>18500</v>
      </c>
      <c r="S6" s="17">
        <v>14800</v>
      </c>
      <c r="T6" s="16" t="s">
        <v>556</v>
      </c>
      <c r="U6" s="166">
        <v>5000</v>
      </c>
    </row>
    <row r="7" spans="1:21" ht="15.75" customHeight="1">
      <c r="G7" s="15" t="s">
        <v>144</v>
      </c>
      <c r="H7" s="127">
        <v>2016</v>
      </c>
      <c r="I7" s="57" t="s">
        <v>152</v>
      </c>
      <c r="J7" s="31" t="s">
        <v>170</v>
      </c>
      <c r="K7" s="165">
        <v>10</v>
      </c>
      <c r="L7" s="16">
        <v>2170</v>
      </c>
      <c r="M7" s="17">
        <v>2900</v>
      </c>
      <c r="N7" s="16">
        <v>3770</v>
      </c>
      <c r="O7" s="17">
        <v>4350</v>
      </c>
      <c r="P7" s="16">
        <v>5130</v>
      </c>
      <c r="Q7" s="17">
        <v>5920</v>
      </c>
      <c r="R7" s="16">
        <v>7040</v>
      </c>
      <c r="S7" s="17">
        <v>5740</v>
      </c>
      <c r="T7" s="16" t="s">
        <v>500</v>
      </c>
      <c r="U7" s="166">
        <v>3000</v>
      </c>
    </row>
    <row r="8" spans="1:21" ht="15.75" customHeight="1">
      <c r="G8" s="450" t="s">
        <v>4</v>
      </c>
      <c r="H8" s="451"/>
      <c r="I8" s="167"/>
      <c r="J8" s="168"/>
      <c r="K8" s="168"/>
      <c r="L8" s="169"/>
      <c r="M8" s="169"/>
      <c r="N8" s="169"/>
      <c r="O8" s="169"/>
      <c r="P8" s="169"/>
      <c r="Q8" s="169"/>
      <c r="R8" s="169"/>
      <c r="S8" s="169"/>
      <c r="T8" s="30"/>
      <c r="U8" s="170"/>
    </row>
    <row r="9" spans="1:21" ht="15.75" customHeight="1">
      <c r="G9" s="171" t="s">
        <v>331</v>
      </c>
      <c r="H9" s="172"/>
      <c r="I9" s="172"/>
      <c r="J9" s="172"/>
      <c r="K9" s="172"/>
      <c r="L9" s="173"/>
      <c r="M9" s="173"/>
      <c r="N9" s="173"/>
      <c r="O9" s="173"/>
      <c r="P9" s="173"/>
      <c r="Q9" s="173"/>
      <c r="R9" s="173"/>
      <c r="S9" s="173"/>
      <c r="T9" s="30"/>
      <c r="U9" s="30"/>
    </row>
    <row r="10" spans="1:21" ht="15.75" customHeight="1">
      <c r="G10" s="274" t="s">
        <v>525</v>
      </c>
      <c r="H10" s="131">
        <v>2018</v>
      </c>
      <c r="I10" s="57" t="s">
        <v>148</v>
      </c>
      <c r="J10" s="282" t="s">
        <v>150</v>
      </c>
      <c r="K10" s="57">
        <v>12</v>
      </c>
      <c r="L10" s="16">
        <v>1940</v>
      </c>
      <c r="M10" s="17">
        <v>2710</v>
      </c>
      <c r="N10" s="16">
        <v>3610</v>
      </c>
      <c r="O10" s="17">
        <v>4370</v>
      </c>
      <c r="P10" s="16">
        <v>5250</v>
      </c>
      <c r="Q10" s="17">
        <v>6090</v>
      </c>
      <c r="R10" s="16">
        <v>7220</v>
      </c>
      <c r="S10" s="17">
        <v>5570</v>
      </c>
      <c r="T10" s="16" t="s">
        <v>500</v>
      </c>
      <c r="U10" s="166">
        <v>3000</v>
      </c>
    </row>
    <row r="11" spans="1:21" ht="15.75" customHeight="1">
      <c r="G11" s="130" t="s">
        <v>498</v>
      </c>
      <c r="H11" s="131">
        <v>2018</v>
      </c>
      <c r="I11" s="57" t="s">
        <v>148</v>
      </c>
      <c r="J11" s="258" t="s">
        <v>150</v>
      </c>
      <c r="K11" s="50">
        <v>12</v>
      </c>
      <c r="L11" s="16">
        <v>2040</v>
      </c>
      <c r="M11" s="17">
        <v>2980</v>
      </c>
      <c r="N11" s="16">
        <v>3990</v>
      </c>
      <c r="O11" s="17">
        <v>4550</v>
      </c>
      <c r="P11" s="16">
        <v>5590</v>
      </c>
      <c r="Q11" s="17">
        <v>6500</v>
      </c>
      <c r="R11" s="16">
        <v>7660</v>
      </c>
      <c r="S11" s="17">
        <v>5940</v>
      </c>
      <c r="T11" s="16" t="s">
        <v>500</v>
      </c>
      <c r="U11" s="166">
        <v>3000</v>
      </c>
    </row>
    <row r="12" spans="1:21" ht="15.75" customHeight="1">
      <c r="G12" s="21" t="s">
        <v>332</v>
      </c>
      <c r="H12" s="174" t="s">
        <v>333</v>
      </c>
      <c r="I12" s="175" t="s">
        <v>334</v>
      </c>
      <c r="J12" s="32" t="s">
        <v>158</v>
      </c>
      <c r="K12" s="165">
        <v>10</v>
      </c>
      <c r="L12" s="16">
        <v>1800</v>
      </c>
      <c r="M12" s="17">
        <v>2510</v>
      </c>
      <c r="N12" s="16">
        <v>3350</v>
      </c>
      <c r="O12" s="17">
        <v>4050</v>
      </c>
      <c r="P12" s="16">
        <v>4860</v>
      </c>
      <c r="Q12" s="17">
        <v>5640</v>
      </c>
      <c r="R12" s="16">
        <v>6710</v>
      </c>
      <c r="S12" s="17">
        <v>5170</v>
      </c>
      <c r="T12" s="16" t="s">
        <v>500</v>
      </c>
      <c r="U12" s="166">
        <v>2500</v>
      </c>
    </row>
    <row r="13" spans="1:21" ht="15.75" customHeight="1">
      <c r="G13" s="15" t="s">
        <v>82</v>
      </c>
      <c r="H13" s="58" t="s">
        <v>140</v>
      </c>
      <c r="I13" s="57" t="s">
        <v>148</v>
      </c>
      <c r="J13" s="127" t="s">
        <v>150</v>
      </c>
      <c r="K13" s="50">
        <v>12</v>
      </c>
      <c r="L13" s="16">
        <v>1840</v>
      </c>
      <c r="M13" s="17">
        <v>2560</v>
      </c>
      <c r="N13" s="16">
        <v>3420</v>
      </c>
      <c r="O13" s="17">
        <v>4140</v>
      </c>
      <c r="P13" s="16">
        <v>4970</v>
      </c>
      <c r="Q13" s="17">
        <v>5760</v>
      </c>
      <c r="R13" s="16">
        <v>6840</v>
      </c>
      <c r="S13" s="17">
        <v>5270</v>
      </c>
      <c r="T13" s="16" t="s">
        <v>500</v>
      </c>
      <c r="U13" s="166">
        <v>2500</v>
      </c>
    </row>
    <row r="14" spans="1:21" ht="15.75" customHeight="1">
      <c r="G14" s="177" t="s">
        <v>5</v>
      </c>
      <c r="H14" s="20"/>
      <c r="I14" s="20"/>
      <c r="J14" s="20"/>
      <c r="K14" s="20"/>
      <c r="L14" s="178"/>
      <c r="M14" s="178"/>
      <c r="N14" s="162"/>
      <c r="O14" s="162"/>
      <c r="P14" s="178"/>
      <c r="Q14" s="178"/>
      <c r="R14" s="178"/>
      <c r="S14" s="178"/>
      <c r="T14" s="20"/>
      <c r="U14" s="20"/>
    </row>
    <row r="15" spans="1:21" ht="15.75" customHeight="1">
      <c r="G15" s="15" t="s">
        <v>336</v>
      </c>
      <c r="H15" s="58" t="s">
        <v>337</v>
      </c>
      <c r="I15" s="57" t="s">
        <v>338</v>
      </c>
      <c r="J15" s="127" t="s">
        <v>154</v>
      </c>
      <c r="K15" s="57">
        <v>12</v>
      </c>
      <c r="L15" s="16">
        <v>2160</v>
      </c>
      <c r="M15" s="17">
        <v>3010</v>
      </c>
      <c r="N15" s="16">
        <v>4020</v>
      </c>
      <c r="O15" s="17">
        <v>4860</v>
      </c>
      <c r="P15" s="16">
        <v>5840</v>
      </c>
      <c r="Q15" s="17">
        <v>6770</v>
      </c>
      <c r="R15" s="16">
        <v>8050</v>
      </c>
      <c r="S15" s="17">
        <v>6200</v>
      </c>
      <c r="T15" s="16" t="s">
        <v>500</v>
      </c>
      <c r="U15" s="166">
        <v>3000</v>
      </c>
    </row>
    <row r="16" spans="1:21" ht="15.75" customHeight="1">
      <c r="G16" s="265" t="s">
        <v>557</v>
      </c>
      <c r="H16" s="266" t="s">
        <v>296</v>
      </c>
      <c r="I16" s="57" t="s">
        <v>554</v>
      </c>
      <c r="J16" s="31" t="s">
        <v>555</v>
      </c>
      <c r="K16" s="264">
        <v>10</v>
      </c>
      <c r="L16" s="16">
        <v>2480</v>
      </c>
      <c r="M16" s="17">
        <v>3460</v>
      </c>
      <c r="N16" s="16">
        <v>4620</v>
      </c>
      <c r="O16" s="17">
        <v>5590</v>
      </c>
      <c r="P16" s="16">
        <v>6720</v>
      </c>
      <c r="Q16" s="176">
        <v>7790</v>
      </c>
      <c r="R16" s="16">
        <v>9260</v>
      </c>
      <c r="S16" s="17">
        <v>7130</v>
      </c>
      <c r="T16" s="16" t="s">
        <v>556</v>
      </c>
      <c r="U16" s="166">
        <v>3000</v>
      </c>
    </row>
    <row r="17" spans="7:21" ht="15.75" customHeight="1">
      <c r="G17" s="265" t="s">
        <v>606</v>
      </c>
      <c r="H17" s="266" t="s">
        <v>296</v>
      </c>
      <c r="I17" s="181">
        <v>4</v>
      </c>
      <c r="J17" s="31" t="s">
        <v>157</v>
      </c>
      <c r="K17" s="264">
        <v>10</v>
      </c>
      <c r="L17" s="16">
        <v>1800</v>
      </c>
      <c r="M17" s="17">
        <v>2510</v>
      </c>
      <c r="N17" s="16">
        <v>3350</v>
      </c>
      <c r="O17" s="17">
        <v>4050</v>
      </c>
      <c r="P17" s="16">
        <v>4860</v>
      </c>
      <c r="Q17" s="17">
        <v>5640</v>
      </c>
      <c r="R17" s="16">
        <v>6710</v>
      </c>
      <c r="S17" s="17">
        <v>5170</v>
      </c>
      <c r="T17" s="16" t="s">
        <v>500</v>
      </c>
      <c r="U17" s="166">
        <v>2500</v>
      </c>
    </row>
    <row r="18" spans="7:21" ht="15.75" customHeight="1">
      <c r="G18" s="130" t="s">
        <v>558</v>
      </c>
      <c r="H18" s="131">
        <v>2018</v>
      </c>
      <c r="I18" s="181">
        <v>4</v>
      </c>
      <c r="J18" s="31" t="s">
        <v>157</v>
      </c>
      <c r="K18" s="179">
        <v>10</v>
      </c>
      <c r="L18" s="16">
        <v>1470</v>
      </c>
      <c r="M18" s="17">
        <v>2000</v>
      </c>
      <c r="N18" s="16">
        <v>2710</v>
      </c>
      <c r="O18" s="17">
        <v>3320</v>
      </c>
      <c r="P18" s="16">
        <v>4010</v>
      </c>
      <c r="Q18" s="17">
        <v>4500</v>
      </c>
      <c r="R18" s="16">
        <v>5510</v>
      </c>
      <c r="S18" s="17">
        <v>4260</v>
      </c>
      <c r="T18" s="16" t="s">
        <v>500</v>
      </c>
      <c r="U18" s="166">
        <v>2500</v>
      </c>
    </row>
    <row r="19" spans="7:21" ht="15.75" customHeight="1">
      <c r="G19" s="21" t="s">
        <v>339</v>
      </c>
      <c r="H19" s="180" t="s">
        <v>363</v>
      </c>
      <c r="I19" s="181">
        <v>4</v>
      </c>
      <c r="J19" s="31" t="s">
        <v>157</v>
      </c>
      <c r="K19" s="179">
        <v>10</v>
      </c>
      <c r="L19" s="16">
        <v>1430</v>
      </c>
      <c r="M19" s="17">
        <v>1970</v>
      </c>
      <c r="N19" s="16">
        <v>2650</v>
      </c>
      <c r="O19" s="17">
        <v>3210</v>
      </c>
      <c r="P19" s="16">
        <v>3840</v>
      </c>
      <c r="Q19" s="176">
        <v>4460</v>
      </c>
      <c r="R19" s="16">
        <v>5300</v>
      </c>
      <c r="S19" s="17">
        <v>4070</v>
      </c>
      <c r="T19" s="16" t="s">
        <v>501</v>
      </c>
      <c r="U19" s="166">
        <v>2500</v>
      </c>
    </row>
    <row r="20" spans="7:21" ht="15.75" customHeight="1">
      <c r="G20" s="21" t="s">
        <v>53</v>
      </c>
      <c r="H20" s="174" t="s">
        <v>140</v>
      </c>
      <c r="I20" s="175" t="s">
        <v>156</v>
      </c>
      <c r="J20" s="31" t="s">
        <v>157</v>
      </c>
      <c r="K20" s="179">
        <v>10</v>
      </c>
      <c r="L20" s="16">
        <v>1340</v>
      </c>
      <c r="M20" s="17">
        <v>1870</v>
      </c>
      <c r="N20" s="16">
        <v>2510</v>
      </c>
      <c r="O20" s="17">
        <v>3020</v>
      </c>
      <c r="P20" s="16">
        <v>3630</v>
      </c>
      <c r="Q20" s="176">
        <v>4200</v>
      </c>
      <c r="R20" s="16">
        <v>5000</v>
      </c>
      <c r="S20" s="17">
        <v>3840</v>
      </c>
      <c r="T20" s="16" t="s">
        <v>501</v>
      </c>
      <c r="U20" s="166">
        <v>2500</v>
      </c>
    </row>
    <row r="21" spans="7:21" ht="15.75" customHeight="1">
      <c r="G21" s="21" t="s">
        <v>340</v>
      </c>
      <c r="H21" s="174" t="s">
        <v>341</v>
      </c>
      <c r="I21" s="175" t="s">
        <v>156</v>
      </c>
      <c r="J21" s="31" t="s">
        <v>157</v>
      </c>
      <c r="K21" s="179">
        <v>10</v>
      </c>
      <c r="L21" s="16">
        <v>1340</v>
      </c>
      <c r="M21" s="17">
        <v>1870</v>
      </c>
      <c r="N21" s="16">
        <v>2510</v>
      </c>
      <c r="O21" s="17">
        <v>3020</v>
      </c>
      <c r="P21" s="16">
        <v>3630</v>
      </c>
      <c r="Q21" s="176">
        <v>4200</v>
      </c>
      <c r="R21" s="16">
        <v>5000</v>
      </c>
      <c r="S21" s="17">
        <v>3840</v>
      </c>
      <c r="T21" s="16" t="s">
        <v>501</v>
      </c>
      <c r="U21" s="166">
        <v>2500</v>
      </c>
    </row>
    <row r="22" spans="7:21" ht="15.75" customHeight="1">
      <c r="G22" s="33" t="s">
        <v>24</v>
      </c>
      <c r="H22" s="174" t="s">
        <v>86</v>
      </c>
      <c r="I22" s="175" t="s">
        <v>156</v>
      </c>
      <c r="J22" s="31" t="s">
        <v>157</v>
      </c>
      <c r="K22" s="179">
        <v>10</v>
      </c>
      <c r="L22" s="16">
        <v>1340</v>
      </c>
      <c r="M22" s="17">
        <v>1870</v>
      </c>
      <c r="N22" s="16">
        <v>2510</v>
      </c>
      <c r="O22" s="17">
        <v>3020</v>
      </c>
      <c r="P22" s="16">
        <v>3630</v>
      </c>
      <c r="Q22" s="176">
        <v>4200</v>
      </c>
      <c r="R22" s="16">
        <v>5000</v>
      </c>
      <c r="S22" s="17">
        <v>3840</v>
      </c>
      <c r="T22" s="16" t="s">
        <v>501</v>
      </c>
      <c r="U22" s="166">
        <v>2500</v>
      </c>
    </row>
    <row r="23" spans="7:21" ht="15.75" customHeight="1">
      <c r="G23" s="21" t="s">
        <v>0</v>
      </c>
      <c r="H23" s="174" t="s">
        <v>14</v>
      </c>
      <c r="I23" s="175" t="s">
        <v>156</v>
      </c>
      <c r="J23" s="31" t="s">
        <v>157</v>
      </c>
      <c r="K23" s="165">
        <v>10</v>
      </c>
      <c r="L23" s="16">
        <v>1240</v>
      </c>
      <c r="M23" s="17">
        <v>1710</v>
      </c>
      <c r="N23" s="16">
        <v>2290</v>
      </c>
      <c r="O23" s="17">
        <v>2790</v>
      </c>
      <c r="P23" s="16">
        <v>3340</v>
      </c>
      <c r="Q23" s="17">
        <v>3870</v>
      </c>
      <c r="R23" s="16">
        <v>4600</v>
      </c>
      <c r="S23" s="17">
        <v>3550</v>
      </c>
      <c r="T23" s="16" t="s">
        <v>501</v>
      </c>
      <c r="U23" s="166">
        <v>2500</v>
      </c>
    </row>
    <row r="24" spans="7:21" ht="15.75" customHeight="1">
      <c r="G24" s="452" t="s">
        <v>344</v>
      </c>
      <c r="H24" s="452"/>
      <c r="I24" s="452"/>
      <c r="J24" s="452"/>
      <c r="K24" s="452"/>
      <c r="L24" s="452"/>
      <c r="M24" s="452"/>
      <c r="N24" s="183"/>
      <c r="O24" s="183"/>
      <c r="P24" s="183"/>
      <c r="Q24" s="184"/>
      <c r="R24" s="158"/>
      <c r="S24" s="158"/>
      <c r="T24" s="12"/>
      <c r="U24" s="12"/>
    </row>
    <row r="25" spans="7:21" ht="15.75" customHeight="1">
      <c r="G25" s="453" t="s">
        <v>345</v>
      </c>
      <c r="H25" s="454"/>
      <c r="I25" s="454"/>
      <c r="J25" s="454"/>
      <c r="K25" s="454"/>
      <c r="L25" s="454"/>
      <c r="M25" s="454"/>
      <c r="N25" s="454"/>
      <c r="O25" s="455"/>
      <c r="P25" s="455"/>
      <c r="Q25" s="455"/>
      <c r="R25" s="455"/>
      <c r="S25" s="158"/>
      <c r="T25" s="12"/>
      <c r="U25" s="12"/>
    </row>
    <row r="26" spans="7:21" ht="15.75">
      <c r="G26" s="22" t="s">
        <v>96</v>
      </c>
      <c r="H26" s="125"/>
      <c r="I26" s="125"/>
      <c r="J26" s="125"/>
      <c r="K26" s="125"/>
      <c r="L26" s="125"/>
      <c r="M26" s="125"/>
      <c r="N26" s="125"/>
      <c r="O26" s="92"/>
      <c r="P26" s="92"/>
      <c r="Q26" s="92"/>
      <c r="R26" s="92"/>
      <c r="S26" s="158"/>
      <c r="T26" s="12"/>
      <c r="U26" s="12"/>
    </row>
    <row r="27" spans="7:21" ht="15.75">
      <c r="G27" s="310" t="s">
        <v>522</v>
      </c>
      <c r="H27" s="311"/>
      <c r="I27" s="311"/>
      <c r="J27" s="311"/>
      <c r="K27" s="311"/>
      <c r="L27" s="311"/>
      <c r="M27" s="311"/>
      <c r="N27" s="312"/>
      <c r="O27" s="312"/>
      <c r="P27" s="313"/>
      <c r="Q27" s="314"/>
      <c r="R27" s="92"/>
      <c r="S27" s="158"/>
      <c r="T27" s="12"/>
      <c r="U27" s="12"/>
    </row>
    <row r="28" spans="7:21" ht="15.75">
      <c r="G28" s="315"/>
      <c r="H28" s="316"/>
      <c r="I28" s="316"/>
      <c r="J28" s="316"/>
      <c r="K28" s="316"/>
      <c r="L28" s="316"/>
      <c r="M28" s="316"/>
      <c r="N28" s="316"/>
      <c r="O28" s="316"/>
      <c r="P28" s="316"/>
      <c r="Q28" s="317"/>
      <c r="R28" s="92"/>
      <c r="S28" s="158"/>
      <c r="T28" s="12"/>
      <c r="U28" s="12"/>
    </row>
    <row r="29" spans="7:21" ht="15.75">
      <c r="G29" s="7"/>
      <c r="H29" s="185" t="s">
        <v>81</v>
      </c>
      <c r="I29" s="185"/>
      <c r="J29" s="185"/>
      <c r="K29" s="185"/>
      <c r="L29" s="185"/>
      <c r="M29" s="185"/>
      <c r="N29" s="183"/>
      <c r="O29" s="183"/>
      <c r="P29" s="92"/>
      <c r="Q29" s="92"/>
      <c r="R29" s="92"/>
      <c r="S29" s="158"/>
      <c r="T29" s="12"/>
      <c r="U29" s="12"/>
    </row>
    <row r="30" spans="7:21" ht="16.5" customHeight="1">
      <c r="G30" s="35" t="s">
        <v>8</v>
      </c>
      <c r="H30" s="398" t="s">
        <v>211</v>
      </c>
      <c r="I30" s="399"/>
      <c r="J30" s="399"/>
      <c r="K30" s="399"/>
      <c r="L30" s="399"/>
      <c r="M30" s="399"/>
      <c r="N30" s="399"/>
      <c r="O30" s="399"/>
      <c r="P30" s="399"/>
      <c r="Q30" s="399"/>
      <c r="R30" s="399"/>
      <c r="S30" s="399"/>
      <c r="T30" s="399"/>
      <c r="U30" s="400"/>
    </row>
    <row r="31" spans="7:21" ht="15.75" customHeight="1">
      <c r="G31" s="401" t="s">
        <v>9</v>
      </c>
      <c r="H31" s="403" t="s">
        <v>346</v>
      </c>
      <c r="I31" s="404"/>
      <c r="J31" s="404"/>
      <c r="K31" s="404"/>
      <c r="L31" s="404"/>
      <c r="M31" s="404"/>
      <c r="N31" s="404"/>
      <c r="O31" s="404"/>
      <c r="P31" s="404"/>
      <c r="Q31" s="404"/>
      <c r="R31" s="404"/>
      <c r="S31" s="404"/>
      <c r="T31" s="404"/>
      <c r="U31" s="405"/>
    </row>
    <row r="32" spans="7:21" ht="15.75" customHeight="1">
      <c r="G32" s="432"/>
      <c r="H32" s="388" t="s">
        <v>347</v>
      </c>
      <c r="I32" s="389"/>
      <c r="J32" s="389"/>
      <c r="K32" s="389"/>
      <c r="L32" s="389"/>
      <c r="M32" s="389"/>
      <c r="N32" s="389"/>
      <c r="O32" s="389"/>
      <c r="P32" s="389"/>
      <c r="Q32" s="389"/>
      <c r="R32" s="389"/>
      <c r="S32" s="389"/>
      <c r="T32" s="389"/>
      <c r="U32" s="390"/>
    </row>
    <row r="33" spans="7:21" ht="29.25" customHeight="1">
      <c r="G33" s="433"/>
      <c r="H33" s="398" t="s">
        <v>348</v>
      </c>
      <c r="I33" s="399"/>
      <c r="J33" s="434"/>
      <c r="K33" s="434"/>
      <c r="L33" s="434"/>
      <c r="M33" s="434"/>
      <c r="N33" s="434"/>
      <c r="O33" s="434"/>
      <c r="P33" s="434"/>
      <c r="Q33" s="434"/>
      <c r="R33" s="434"/>
      <c r="S33" s="434"/>
      <c r="T33" s="434"/>
      <c r="U33" s="435"/>
    </row>
    <row r="34" spans="7:21" ht="12.75" customHeight="1">
      <c r="G34" s="367" t="s">
        <v>349</v>
      </c>
      <c r="H34" s="436" t="s">
        <v>350</v>
      </c>
      <c r="I34" s="436"/>
      <c r="J34" s="436"/>
      <c r="K34" s="436"/>
      <c r="L34" s="436"/>
      <c r="M34" s="436"/>
      <c r="N34" s="436"/>
      <c r="O34" s="436"/>
      <c r="P34" s="436"/>
      <c r="Q34" s="436"/>
      <c r="R34" s="436"/>
      <c r="S34" s="436"/>
      <c r="T34" s="436"/>
      <c r="U34" s="437"/>
    </row>
    <row r="35" spans="7:21" ht="12.75" customHeight="1">
      <c r="G35" s="368"/>
      <c r="H35" s="438"/>
      <c r="I35" s="438"/>
      <c r="J35" s="438"/>
      <c r="K35" s="438"/>
      <c r="L35" s="438"/>
      <c r="M35" s="438"/>
      <c r="N35" s="438"/>
      <c r="O35" s="438"/>
      <c r="P35" s="438"/>
      <c r="Q35" s="438"/>
      <c r="R35" s="438"/>
      <c r="S35" s="438"/>
      <c r="T35" s="438"/>
      <c r="U35" s="439"/>
    </row>
    <row r="36" spans="7:21" ht="12.75" customHeight="1">
      <c r="G36" s="368"/>
      <c r="H36" s="438"/>
      <c r="I36" s="438"/>
      <c r="J36" s="438"/>
      <c r="K36" s="438"/>
      <c r="L36" s="438"/>
      <c r="M36" s="438"/>
      <c r="N36" s="438"/>
      <c r="O36" s="438"/>
      <c r="P36" s="438"/>
      <c r="Q36" s="438"/>
      <c r="R36" s="438"/>
      <c r="S36" s="438"/>
      <c r="T36" s="438"/>
      <c r="U36" s="439"/>
    </row>
    <row r="37" spans="7:21" ht="12.75" customHeight="1">
      <c r="G37" s="368"/>
      <c r="H37" s="438"/>
      <c r="I37" s="438"/>
      <c r="J37" s="438"/>
      <c r="K37" s="438"/>
      <c r="L37" s="438"/>
      <c r="M37" s="438"/>
      <c r="N37" s="438"/>
      <c r="O37" s="438"/>
      <c r="P37" s="438"/>
      <c r="Q37" s="438"/>
      <c r="R37" s="438"/>
      <c r="S37" s="438"/>
      <c r="T37" s="438"/>
      <c r="U37" s="439"/>
    </row>
    <row r="38" spans="7:21" ht="12.75" customHeight="1">
      <c r="G38" s="368"/>
      <c r="H38" s="438"/>
      <c r="I38" s="438"/>
      <c r="J38" s="438"/>
      <c r="K38" s="438"/>
      <c r="L38" s="438"/>
      <c r="M38" s="438"/>
      <c r="N38" s="438"/>
      <c r="O38" s="438"/>
      <c r="P38" s="438"/>
      <c r="Q38" s="438"/>
      <c r="R38" s="438"/>
      <c r="S38" s="438"/>
      <c r="T38" s="438"/>
      <c r="U38" s="439"/>
    </row>
    <row r="39" spans="7:21" ht="12.75" customHeight="1">
      <c r="G39" s="368"/>
      <c r="H39" s="438"/>
      <c r="I39" s="438"/>
      <c r="J39" s="438"/>
      <c r="K39" s="438"/>
      <c r="L39" s="438"/>
      <c r="M39" s="438"/>
      <c r="N39" s="438"/>
      <c r="O39" s="438"/>
      <c r="P39" s="438"/>
      <c r="Q39" s="438"/>
      <c r="R39" s="438"/>
      <c r="S39" s="438"/>
      <c r="T39" s="438"/>
      <c r="U39" s="439"/>
    </row>
    <row r="40" spans="7:21" ht="89.25" customHeight="1">
      <c r="G40" s="429"/>
      <c r="H40" s="440"/>
      <c r="I40" s="440"/>
      <c r="J40" s="440"/>
      <c r="K40" s="440"/>
      <c r="L40" s="440"/>
      <c r="M40" s="440"/>
      <c r="N40" s="440"/>
      <c r="O40" s="440"/>
      <c r="P40" s="440"/>
      <c r="Q40" s="440"/>
      <c r="R40" s="440"/>
      <c r="S40" s="440"/>
      <c r="T40" s="440"/>
      <c r="U40" s="441"/>
    </row>
    <row r="41" spans="7:21" ht="21">
      <c r="G41" s="9" t="s">
        <v>351</v>
      </c>
      <c r="H41" s="36" t="s">
        <v>6</v>
      </c>
      <c r="I41" s="36"/>
      <c r="J41" s="186"/>
      <c r="K41" s="186"/>
      <c r="L41" s="187"/>
      <c r="M41" s="187"/>
      <c r="N41" s="187"/>
      <c r="O41" s="187"/>
      <c r="P41" s="187"/>
      <c r="Q41" s="187"/>
      <c r="R41" s="187"/>
      <c r="S41" s="187"/>
      <c r="T41" s="188"/>
      <c r="U41" s="188"/>
    </row>
    <row r="42" spans="7:21" ht="29.25" customHeight="1">
      <c r="G42" s="284" t="s">
        <v>645</v>
      </c>
      <c r="H42" s="339" t="s">
        <v>494</v>
      </c>
      <c r="I42" s="374"/>
      <c r="J42" s="374"/>
      <c r="K42" s="374"/>
      <c r="L42" s="374"/>
      <c r="M42" s="287"/>
      <c r="N42" s="287"/>
      <c r="O42" s="287"/>
      <c r="P42" s="287"/>
      <c r="Q42" s="287"/>
      <c r="R42" s="287"/>
      <c r="S42" s="287"/>
      <c r="T42" s="288"/>
      <c r="U42" s="289"/>
    </row>
    <row r="43" spans="7:21" ht="33" customHeight="1">
      <c r="G43" s="283" t="s">
        <v>508</v>
      </c>
      <c r="H43" s="381" t="s">
        <v>161</v>
      </c>
      <c r="I43" s="382"/>
      <c r="J43" s="361"/>
      <c r="K43" s="361"/>
      <c r="L43" s="361"/>
      <c r="M43" s="382"/>
      <c r="N43" s="382"/>
      <c r="O43" s="382"/>
      <c r="P43" s="382"/>
      <c r="Q43" s="382"/>
      <c r="R43" s="415"/>
      <c r="S43" s="292"/>
      <c r="T43" s="442"/>
      <c r="U43" s="443"/>
    </row>
    <row r="44" spans="7:21" ht="24.75" customHeight="1">
      <c r="G44" s="283" t="s">
        <v>487</v>
      </c>
      <c r="H44" s="381" t="s">
        <v>485</v>
      </c>
      <c r="I44" s="382"/>
      <c r="J44" s="361"/>
      <c r="K44" s="361"/>
      <c r="L44" s="361"/>
      <c r="M44" s="382"/>
      <c r="N44" s="382"/>
      <c r="O44" s="382"/>
      <c r="P44" s="382"/>
      <c r="Q44" s="382"/>
      <c r="R44" s="415"/>
      <c r="S44" s="292"/>
      <c r="T44" s="442"/>
      <c r="U44" s="443"/>
    </row>
    <row r="45" spans="7:21" ht="33" customHeight="1">
      <c r="G45" s="283" t="s">
        <v>489</v>
      </c>
      <c r="H45" s="302" t="s">
        <v>510</v>
      </c>
      <c r="I45" s="292"/>
      <c r="J45" s="292"/>
      <c r="K45" s="292"/>
      <c r="L45" s="292"/>
      <c r="M45" s="382"/>
      <c r="N45" s="382"/>
      <c r="O45" s="382"/>
      <c r="P45" s="382"/>
      <c r="Q45" s="382"/>
      <c r="R45" s="415"/>
      <c r="S45" s="292"/>
      <c r="T45" s="442"/>
      <c r="U45" s="443"/>
    </row>
    <row r="46" spans="7:21" ht="20.25" customHeight="1">
      <c r="G46" s="286" t="s">
        <v>488</v>
      </c>
      <c r="H46" s="302" t="s">
        <v>511</v>
      </c>
      <c r="I46" s="292"/>
      <c r="J46" s="292"/>
      <c r="K46" s="292"/>
      <c r="L46" s="292"/>
      <c r="M46" s="382"/>
      <c r="N46" s="382"/>
      <c r="O46" s="382"/>
      <c r="P46" s="382"/>
      <c r="Q46" s="382"/>
      <c r="R46" s="415"/>
      <c r="S46" s="292"/>
      <c r="T46" s="442"/>
      <c r="U46" s="443"/>
    </row>
    <row r="47" spans="7:21" ht="15.75" customHeight="1">
      <c r="G47" s="26" t="s">
        <v>491</v>
      </c>
      <c r="H47" s="322" t="s">
        <v>495</v>
      </c>
      <c r="I47" s="444"/>
      <c r="J47" s="444"/>
      <c r="K47" s="444"/>
      <c r="L47" s="444"/>
      <c r="M47" s="444"/>
      <c r="N47" s="444"/>
      <c r="O47" s="444"/>
      <c r="P47" s="444"/>
      <c r="Q47" s="444"/>
      <c r="R47" s="444"/>
      <c r="S47" s="444"/>
      <c r="T47" s="444"/>
      <c r="U47" s="445"/>
    </row>
    <row r="48" spans="7:21" ht="15.75" customHeight="1">
      <c r="G48" s="368" t="s">
        <v>472</v>
      </c>
      <c r="H48" s="381" t="s">
        <v>32</v>
      </c>
      <c r="I48" s="382"/>
      <c r="J48" s="382"/>
      <c r="K48" s="382"/>
      <c r="L48" s="382"/>
      <c r="M48" s="382"/>
      <c r="N48" s="382"/>
      <c r="O48" s="382"/>
      <c r="P48" s="382"/>
      <c r="Q48" s="382"/>
      <c r="R48" s="382"/>
      <c r="S48" s="430" t="s">
        <v>93</v>
      </c>
      <c r="T48" s="430"/>
      <c r="U48" s="431"/>
    </row>
    <row r="49" spans="7:21" ht="15.75" customHeight="1">
      <c r="G49" s="368"/>
      <c r="H49" s="347" t="s">
        <v>477</v>
      </c>
      <c r="I49" s="348"/>
      <c r="J49" s="348"/>
      <c r="K49" s="348"/>
      <c r="L49" s="348"/>
      <c r="M49" s="348"/>
      <c r="N49" s="348"/>
      <c r="O49" s="348"/>
      <c r="P49" s="348"/>
      <c r="Q49" s="348"/>
      <c r="R49" s="348"/>
      <c r="S49" s="348"/>
      <c r="T49" s="348"/>
      <c r="U49" s="349"/>
    </row>
    <row r="50" spans="7:21" ht="15.75" customHeight="1">
      <c r="G50" s="325" t="s">
        <v>473</v>
      </c>
      <c r="H50" s="339" t="s">
        <v>352</v>
      </c>
      <c r="I50" s="374"/>
      <c r="J50" s="374"/>
      <c r="K50" s="374"/>
      <c r="L50" s="374"/>
      <c r="M50" s="374"/>
      <c r="N50" s="374"/>
      <c r="O50" s="374"/>
      <c r="P50" s="374"/>
      <c r="Q50" s="374"/>
      <c r="R50" s="374"/>
      <c r="S50" s="374"/>
      <c r="T50" s="374"/>
      <c r="U50" s="340"/>
    </row>
    <row r="51" spans="7:21" ht="15.75" customHeight="1">
      <c r="G51" s="326"/>
      <c r="H51" s="302" t="s">
        <v>162</v>
      </c>
      <c r="I51" s="292"/>
      <c r="J51" s="292"/>
      <c r="K51" s="292"/>
      <c r="L51" s="292"/>
      <c r="M51" s="292"/>
      <c r="N51" s="292"/>
      <c r="O51" s="292"/>
      <c r="P51" s="292"/>
      <c r="Q51" s="292"/>
      <c r="R51" s="292"/>
      <c r="S51" s="292"/>
      <c r="T51" s="292"/>
      <c r="U51" s="303"/>
    </row>
    <row r="52" spans="7:21" ht="15.75" customHeight="1">
      <c r="G52" s="326"/>
      <c r="H52" s="302" t="s">
        <v>182</v>
      </c>
      <c r="I52" s="292"/>
      <c r="J52" s="292"/>
      <c r="K52" s="292"/>
      <c r="L52" s="292"/>
      <c r="M52" s="292"/>
      <c r="N52" s="292"/>
      <c r="O52" s="292"/>
      <c r="P52" s="292"/>
      <c r="Q52" s="292"/>
      <c r="R52" s="292"/>
      <c r="S52" s="292"/>
      <c r="T52" s="292"/>
      <c r="U52" s="303"/>
    </row>
    <row r="53" spans="7:21" ht="15.75" customHeight="1">
      <c r="G53" s="326"/>
      <c r="H53" s="302" t="s">
        <v>163</v>
      </c>
      <c r="I53" s="292"/>
      <c r="J53" s="376"/>
      <c r="K53" s="376"/>
      <c r="L53" s="376"/>
      <c r="M53" s="376"/>
      <c r="N53" s="376"/>
      <c r="O53" s="376"/>
      <c r="P53" s="376"/>
      <c r="Q53" s="376"/>
      <c r="R53" s="376"/>
      <c r="S53" s="376"/>
      <c r="T53" s="376"/>
      <c r="U53" s="365"/>
    </row>
    <row r="54" spans="7:21" ht="15.75" customHeight="1">
      <c r="G54" s="326"/>
      <c r="H54" s="302" t="s">
        <v>164</v>
      </c>
      <c r="I54" s="292"/>
      <c r="J54" s="376"/>
      <c r="K54" s="376"/>
      <c r="L54" s="376"/>
      <c r="M54" s="376"/>
      <c r="N54" s="376"/>
      <c r="O54" s="376"/>
      <c r="P54" s="376"/>
      <c r="Q54" s="376"/>
      <c r="R54" s="376"/>
      <c r="S54" s="376"/>
      <c r="T54" s="376"/>
      <c r="U54" s="365"/>
    </row>
    <row r="55" spans="7:21" ht="15.75" customHeight="1">
      <c r="G55" s="375"/>
      <c r="H55" s="347" t="s">
        <v>353</v>
      </c>
      <c r="I55" s="348"/>
      <c r="J55" s="348"/>
      <c r="K55" s="348"/>
      <c r="L55" s="348"/>
      <c r="M55" s="348"/>
      <c r="N55" s="348"/>
      <c r="O55" s="348"/>
      <c r="P55" s="348"/>
      <c r="Q55" s="348"/>
      <c r="R55" s="348"/>
      <c r="S55" s="348"/>
      <c r="T55" s="348"/>
      <c r="U55" s="349"/>
    </row>
    <row r="56" spans="7:21" ht="12.75" customHeight="1">
      <c r="G56" s="367" t="s">
        <v>16</v>
      </c>
      <c r="H56" s="339" t="s">
        <v>657</v>
      </c>
      <c r="I56" s="374"/>
      <c r="J56" s="374"/>
      <c r="K56" s="374"/>
      <c r="L56" s="374"/>
      <c r="M56" s="374"/>
      <c r="N56" s="374"/>
      <c r="O56" s="374"/>
      <c r="P56" s="374"/>
      <c r="Q56" s="374"/>
      <c r="R56" s="374"/>
      <c r="S56" s="374"/>
      <c r="T56" s="374"/>
      <c r="U56" s="340"/>
    </row>
    <row r="57" spans="7:21" ht="12.75" customHeight="1">
      <c r="G57" s="368"/>
      <c r="H57" s="302"/>
      <c r="I57" s="292"/>
      <c r="J57" s="292"/>
      <c r="K57" s="292"/>
      <c r="L57" s="292"/>
      <c r="M57" s="292"/>
      <c r="N57" s="292"/>
      <c r="O57" s="292"/>
      <c r="P57" s="292"/>
      <c r="Q57" s="292"/>
      <c r="R57" s="292"/>
      <c r="S57" s="292"/>
      <c r="T57" s="292"/>
      <c r="U57" s="303"/>
    </row>
    <row r="58" spans="7:21" ht="12.75" customHeight="1">
      <c r="G58" s="368"/>
      <c r="H58" s="302"/>
      <c r="I58" s="292"/>
      <c r="J58" s="292"/>
      <c r="K58" s="292"/>
      <c r="L58" s="292"/>
      <c r="M58" s="292"/>
      <c r="N58" s="292"/>
      <c r="O58" s="292"/>
      <c r="P58" s="292"/>
      <c r="Q58" s="292"/>
      <c r="R58" s="292"/>
      <c r="S58" s="292"/>
      <c r="T58" s="292"/>
      <c r="U58" s="303"/>
    </row>
    <row r="59" spans="7:21" ht="12.75" customHeight="1">
      <c r="G59" s="368"/>
      <c r="H59" s="302"/>
      <c r="I59" s="292"/>
      <c r="J59" s="292"/>
      <c r="K59" s="292"/>
      <c r="L59" s="292"/>
      <c r="M59" s="292"/>
      <c r="N59" s="292"/>
      <c r="O59" s="292"/>
      <c r="P59" s="292"/>
      <c r="Q59" s="292"/>
      <c r="R59" s="292"/>
      <c r="S59" s="292"/>
      <c r="T59" s="292"/>
      <c r="U59" s="303"/>
    </row>
    <row r="60" spans="7:21" ht="12.75" customHeight="1">
      <c r="G60" s="368"/>
      <c r="H60" s="302"/>
      <c r="I60" s="292"/>
      <c r="J60" s="292"/>
      <c r="K60" s="292"/>
      <c r="L60" s="292"/>
      <c r="M60" s="292"/>
      <c r="N60" s="292"/>
      <c r="O60" s="292"/>
      <c r="P60" s="292"/>
      <c r="Q60" s="292"/>
      <c r="R60" s="292"/>
      <c r="S60" s="292"/>
      <c r="T60" s="292"/>
      <c r="U60" s="303"/>
    </row>
    <row r="61" spans="7:21" ht="11.25" customHeight="1">
      <c r="G61" s="429"/>
      <c r="H61" s="347"/>
      <c r="I61" s="348"/>
      <c r="J61" s="348"/>
      <c r="K61" s="348"/>
      <c r="L61" s="348"/>
      <c r="M61" s="348"/>
      <c r="N61" s="348"/>
      <c r="O61" s="348"/>
      <c r="P61" s="348"/>
      <c r="Q61" s="348"/>
      <c r="R61" s="348"/>
      <c r="S61" s="348"/>
      <c r="T61" s="348"/>
      <c r="U61" s="349"/>
    </row>
    <row r="62" spans="7:21" ht="15.75" customHeight="1">
      <c r="G62" s="325" t="s">
        <v>19</v>
      </c>
      <c r="H62" s="339" t="s">
        <v>513</v>
      </c>
      <c r="I62" s="374"/>
      <c r="J62" s="374"/>
      <c r="K62" s="374"/>
      <c r="L62" s="374"/>
      <c r="M62" s="374"/>
      <c r="N62" s="374"/>
      <c r="O62" s="374"/>
      <c r="P62" s="374"/>
      <c r="Q62" s="374"/>
      <c r="R62" s="374"/>
      <c r="S62" s="374"/>
      <c r="T62" s="374"/>
      <c r="U62" s="340"/>
    </row>
    <row r="63" spans="7:21" ht="15.75" customHeight="1">
      <c r="G63" s="375"/>
      <c r="H63" s="347" t="s">
        <v>70</v>
      </c>
      <c r="I63" s="348"/>
      <c r="J63" s="348"/>
      <c r="K63" s="348"/>
      <c r="L63" s="348"/>
      <c r="M63" s="348"/>
      <c r="N63" s="348"/>
      <c r="O63" s="348"/>
      <c r="P63" s="348"/>
      <c r="Q63" s="348"/>
      <c r="R63" s="348"/>
      <c r="S63" s="348"/>
      <c r="T63" s="348"/>
      <c r="U63" s="349"/>
    </row>
    <row r="64" spans="7:21" ht="15.75" customHeight="1">
      <c r="G64" s="9" t="s">
        <v>100</v>
      </c>
      <c r="H64" s="28"/>
      <c r="I64" s="28"/>
      <c r="J64" s="28"/>
      <c r="K64" s="28"/>
      <c r="L64" s="189"/>
      <c r="M64" s="189"/>
      <c r="N64" s="189"/>
      <c r="O64" s="189"/>
      <c r="P64" s="189"/>
      <c r="Q64" s="189"/>
      <c r="R64" s="190"/>
      <c r="S64" s="190"/>
      <c r="T64" s="28"/>
      <c r="U64" s="28"/>
    </row>
    <row r="65" spans="7:21" ht="15.75" customHeight="1">
      <c r="G65" s="325" t="s">
        <v>2</v>
      </c>
      <c r="H65" s="327" t="s">
        <v>457</v>
      </c>
      <c r="I65" s="328"/>
      <c r="J65" s="328"/>
      <c r="K65" s="328"/>
      <c r="L65" s="328"/>
      <c r="M65" s="328"/>
      <c r="N65" s="328"/>
      <c r="O65" s="328"/>
      <c r="P65" s="328"/>
      <c r="Q65" s="329"/>
      <c r="R65" s="330" t="s">
        <v>71</v>
      </c>
      <c r="S65" s="334"/>
      <c r="T65" s="428" t="s">
        <v>73</v>
      </c>
      <c r="U65" s="332"/>
    </row>
    <row r="66" spans="7:21" ht="15.75" customHeight="1">
      <c r="G66" s="326"/>
      <c r="H66" s="302" t="s">
        <v>66</v>
      </c>
      <c r="I66" s="292"/>
      <c r="J66" s="292"/>
      <c r="K66" s="292"/>
      <c r="L66" s="292"/>
      <c r="M66" s="292"/>
      <c r="N66" s="292"/>
      <c r="O66" s="292"/>
      <c r="P66" s="292"/>
      <c r="Q66" s="303"/>
      <c r="R66" s="427" t="s">
        <v>72</v>
      </c>
      <c r="S66" s="336"/>
      <c r="T66" s="302" t="s">
        <v>468</v>
      </c>
      <c r="U66" s="303"/>
    </row>
    <row r="67" spans="7:21" ht="15.75" customHeight="1">
      <c r="G67" s="326"/>
      <c r="H67" s="302" t="s">
        <v>67</v>
      </c>
      <c r="I67" s="292"/>
      <c r="J67" s="292"/>
      <c r="K67" s="292"/>
      <c r="L67" s="292"/>
      <c r="M67" s="292"/>
      <c r="N67" s="292"/>
      <c r="O67" s="292"/>
      <c r="P67" s="292"/>
      <c r="Q67" s="303"/>
      <c r="R67" s="361"/>
      <c r="S67" s="365"/>
      <c r="T67" s="364"/>
      <c r="U67" s="365"/>
    </row>
    <row r="68" spans="7:21" ht="32.25" customHeight="1">
      <c r="G68" s="326"/>
      <c r="H68" s="302" t="s">
        <v>364</v>
      </c>
      <c r="I68" s="292"/>
      <c r="J68" s="292"/>
      <c r="K68" s="292"/>
      <c r="L68" s="292"/>
      <c r="M68" s="292"/>
      <c r="N68" s="292"/>
      <c r="O68" s="292"/>
      <c r="P68" s="292"/>
      <c r="Q68" s="303"/>
      <c r="R68" s="362"/>
      <c r="S68" s="366"/>
      <c r="T68" s="362"/>
      <c r="U68" s="366"/>
    </row>
    <row r="69" spans="7:21" ht="15.75" customHeight="1">
      <c r="G69" s="326"/>
      <c r="H69" s="302" t="s">
        <v>301</v>
      </c>
      <c r="I69" s="292"/>
      <c r="J69" s="292"/>
      <c r="K69" s="292"/>
      <c r="L69" s="292"/>
      <c r="M69" s="292"/>
      <c r="N69" s="292"/>
      <c r="O69" s="292"/>
      <c r="P69" s="292"/>
      <c r="Q69" s="303"/>
      <c r="R69" s="425" t="s">
        <v>10</v>
      </c>
      <c r="S69" s="425"/>
      <c r="T69" s="339" t="s">
        <v>69</v>
      </c>
      <c r="U69" s="340"/>
    </row>
    <row r="70" spans="7:21" ht="15.75" customHeight="1">
      <c r="G70" s="326"/>
      <c r="H70" s="302" t="s">
        <v>512</v>
      </c>
      <c r="I70" s="292"/>
      <c r="J70" s="292"/>
      <c r="K70" s="292"/>
      <c r="L70" s="292"/>
      <c r="M70" s="292"/>
      <c r="N70" s="292"/>
      <c r="O70" s="292"/>
      <c r="P70" s="292"/>
      <c r="Q70" s="303"/>
      <c r="R70" s="426"/>
      <c r="S70" s="426"/>
      <c r="T70" s="302" t="s">
        <v>354</v>
      </c>
      <c r="U70" s="303"/>
    </row>
    <row r="71" spans="7:21" ht="15.75" customHeight="1">
      <c r="G71" s="326"/>
      <c r="H71" s="302" t="s">
        <v>310</v>
      </c>
      <c r="I71" s="292"/>
      <c r="J71" s="292"/>
      <c r="K71" s="292"/>
      <c r="L71" s="292"/>
      <c r="M71" s="292"/>
      <c r="N71" s="292"/>
      <c r="O71" s="292"/>
      <c r="P71" s="292"/>
      <c r="Q71" s="303"/>
      <c r="R71" s="345"/>
      <c r="S71" s="345"/>
      <c r="T71" s="302"/>
      <c r="U71" s="303"/>
    </row>
    <row r="72" spans="7:21" ht="15.75" customHeight="1">
      <c r="G72" s="326"/>
      <c r="H72" s="302" t="s">
        <v>215</v>
      </c>
      <c r="I72" s="292"/>
      <c r="J72" s="292"/>
      <c r="K72" s="292"/>
      <c r="L72" s="292"/>
      <c r="M72" s="292"/>
      <c r="N72" s="140"/>
      <c r="O72" s="140"/>
      <c r="P72" s="140"/>
      <c r="Q72" s="140"/>
      <c r="R72" s="345"/>
      <c r="S72" s="345"/>
      <c r="T72" s="302"/>
      <c r="U72" s="303"/>
    </row>
    <row r="73" spans="7:21" ht="15.75" customHeight="1">
      <c r="G73" s="326"/>
      <c r="H73" s="381" t="s">
        <v>87</v>
      </c>
      <c r="I73" s="382"/>
      <c r="J73" s="382"/>
      <c r="K73" s="382"/>
      <c r="L73" s="382"/>
      <c r="M73" s="382"/>
      <c r="N73" s="140"/>
      <c r="O73" s="140"/>
      <c r="P73" s="140"/>
      <c r="Q73" s="140"/>
      <c r="R73" s="345"/>
      <c r="S73" s="345"/>
      <c r="T73" s="302"/>
      <c r="U73" s="303"/>
    </row>
    <row r="74" spans="7:21" ht="15.75" customHeight="1">
      <c r="G74" s="325" t="s">
        <v>101</v>
      </c>
      <c r="H74" s="339" t="s">
        <v>355</v>
      </c>
      <c r="I74" s="374"/>
      <c r="J74" s="374"/>
      <c r="K74" s="374"/>
      <c r="L74" s="374"/>
      <c r="M74" s="374"/>
      <c r="N74" s="374"/>
      <c r="O74" s="374"/>
      <c r="P74" s="374"/>
      <c r="Q74" s="340"/>
      <c r="R74" s="339" t="s">
        <v>356</v>
      </c>
      <c r="S74" s="374"/>
      <c r="T74" s="374"/>
      <c r="U74" s="340"/>
    </row>
    <row r="75" spans="7:21" ht="15.75" customHeight="1">
      <c r="G75" s="326"/>
      <c r="H75" s="302" t="s">
        <v>357</v>
      </c>
      <c r="I75" s="292"/>
      <c r="J75" s="292"/>
      <c r="K75" s="292"/>
      <c r="L75" s="292"/>
      <c r="M75" s="292"/>
      <c r="N75" s="292"/>
      <c r="O75" s="292"/>
      <c r="P75" s="292"/>
      <c r="Q75" s="303"/>
      <c r="R75" s="302"/>
      <c r="S75" s="292"/>
      <c r="T75" s="292"/>
      <c r="U75" s="303"/>
    </row>
    <row r="76" spans="7:21" ht="51" customHeight="1">
      <c r="G76" s="375"/>
      <c r="H76" s="347" t="s">
        <v>358</v>
      </c>
      <c r="I76" s="348"/>
      <c r="J76" s="348"/>
      <c r="K76" s="348"/>
      <c r="L76" s="348"/>
      <c r="M76" s="348"/>
      <c r="N76" s="348"/>
      <c r="O76" s="348"/>
      <c r="P76" s="348"/>
      <c r="Q76" s="349"/>
      <c r="R76" s="347"/>
      <c r="S76" s="348"/>
      <c r="T76" s="348"/>
      <c r="U76" s="349"/>
    </row>
    <row r="77" spans="7:21" ht="47.25" customHeight="1">
      <c r="G77" s="128" t="s">
        <v>102</v>
      </c>
      <c r="H77" s="341" t="s">
        <v>359</v>
      </c>
      <c r="I77" s="342"/>
      <c r="J77" s="342"/>
      <c r="K77" s="342"/>
      <c r="L77" s="342"/>
      <c r="M77" s="342"/>
      <c r="N77" s="138"/>
      <c r="O77" s="138"/>
      <c r="P77" s="138"/>
      <c r="Q77" s="191" t="s">
        <v>75</v>
      </c>
      <c r="R77" s="424" t="s">
        <v>360</v>
      </c>
      <c r="S77" s="424"/>
      <c r="T77" s="424"/>
      <c r="U77" s="424"/>
    </row>
    <row r="78" spans="7:21" ht="48" customHeight="1">
      <c r="G78" s="152" t="s">
        <v>13</v>
      </c>
      <c r="H78" s="347" t="s">
        <v>361</v>
      </c>
      <c r="I78" s="348"/>
      <c r="J78" s="348"/>
      <c r="K78" s="348"/>
      <c r="L78" s="348"/>
      <c r="M78" s="348"/>
      <c r="N78" s="142"/>
      <c r="O78" s="142"/>
      <c r="P78" s="142"/>
      <c r="Q78" s="191" t="s">
        <v>362</v>
      </c>
      <c r="R78" s="424" t="s">
        <v>74</v>
      </c>
      <c r="S78" s="424"/>
      <c r="T78" s="424"/>
      <c r="U78" s="424"/>
    </row>
    <row r="87" ht="15.75" customHeight="1"/>
    <row r="99" ht="15.75" customHeight="1"/>
    <row r="109" ht="390.75" customHeight="1"/>
    <row r="113" ht="15.75" customHeight="1"/>
    <row r="114" ht="15.75" customHeight="1"/>
    <row r="115" ht="15.75" customHeight="1"/>
    <row r="117" ht="15.75" customHeight="1"/>
    <row r="118" ht="31.5" customHeight="1"/>
    <row r="119" ht="15.75" customHeight="1"/>
    <row r="120" ht="15.75" customHeight="1"/>
    <row r="121" ht="38.2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21" customHeight="1"/>
    <row r="158" ht="85.5" customHeight="1"/>
    <row r="159" ht="84.75" customHeight="1"/>
    <row r="160" ht="192.75" customHeight="1"/>
    <row r="161" ht="18.75" customHeight="1"/>
    <row r="162" ht="15.75" customHeight="1"/>
  </sheetData>
  <mergeCells count="73">
    <mergeCell ref="H42:L42"/>
    <mergeCell ref="G27:Q28"/>
    <mergeCell ref="G74:G76"/>
    <mergeCell ref="H74:Q74"/>
    <mergeCell ref="G65:G73"/>
    <mergeCell ref="H65:Q65"/>
    <mergeCell ref="H69:Q69"/>
    <mergeCell ref="G48:G49"/>
    <mergeCell ref="H48:R48"/>
    <mergeCell ref="G50:G55"/>
    <mergeCell ref="H50:U50"/>
    <mergeCell ref="H51:U51"/>
    <mergeCell ref="H52:U52"/>
    <mergeCell ref="H53:U53"/>
    <mergeCell ref="H54:U54"/>
    <mergeCell ref="H55:U55"/>
    <mergeCell ref="U3:U4"/>
    <mergeCell ref="G5:H5"/>
    <mergeCell ref="G8:H8"/>
    <mergeCell ref="G24:M24"/>
    <mergeCell ref="G25:R25"/>
    <mergeCell ref="S3:S4"/>
    <mergeCell ref="T3:T4"/>
    <mergeCell ref="K3:K4"/>
    <mergeCell ref="O3:O4"/>
    <mergeCell ref="Q3:Q4"/>
    <mergeCell ref="R3:R4"/>
    <mergeCell ref="J3:J4"/>
    <mergeCell ref="G3:G4"/>
    <mergeCell ref="H3:H4"/>
    <mergeCell ref="I3:I4"/>
    <mergeCell ref="S48:U48"/>
    <mergeCell ref="H49:U49"/>
    <mergeCell ref="H30:U30"/>
    <mergeCell ref="G31:G33"/>
    <mergeCell ref="H31:U31"/>
    <mergeCell ref="H32:U32"/>
    <mergeCell ref="H33:U33"/>
    <mergeCell ref="G34:G40"/>
    <mergeCell ref="H34:U40"/>
    <mergeCell ref="H43:L43"/>
    <mergeCell ref="M43:R46"/>
    <mergeCell ref="S43:U46"/>
    <mergeCell ref="H44:L44"/>
    <mergeCell ref="H46:L46"/>
    <mergeCell ref="H45:L45"/>
    <mergeCell ref="H47:U47"/>
    <mergeCell ref="H56:U61"/>
    <mergeCell ref="G62:G63"/>
    <mergeCell ref="H62:U62"/>
    <mergeCell ref="H63:U63"/>
    <mergeCell ref="R65:S65"/>
    <mergeCell ref="T65:U65"/>
    <mergeCell ref="G56:G61"/>
    <mergeCell ref="H66:Q66"/>
    <mergeCell ref="R66:S68"/>
    <mergeCell ref="T66:U68"/>
    <mergeCell ref="H67:Q67"/>
    <mergeCell ref="H68:Q68"/>
    <mergeCell ref="H78:M78"/>
    <mergeCell ref="R78:U78"/>
    <mergeCell ref="R69:S73"/>
    <mergeCell ref="T69:U69"/>
    <mergeCell ref="H70:Q70"/>
    <mergeCell ref="T70:U73"/>
    <mergeCell ref="H71:Q71"/>
    <mergeCell ref="H72:M72"/>
    <mergeCell ref="H73:M73"/>
    <mergeCell ref="R74:U76"/>
    <mergeCell ref="H75:Q75"/>
    <mergeCell ref="H76:Q76"/>
    <mergeCell ref="H77:M77"/>
    <mergeCell ref="R77:U77"/>
  </mergeCells>
  <printOptions horizontalCentered="1"/>
  <pageMargins left="0.39000000000000007" right="0.39000000000000007" top="1.71" bottom="0.98" header="0.51" footer="0.51"/>
  <pageSetup paperSize="9" scale="43" fitToHeight="0" orientation="portrait" r:id="rId1"/>
  <headerFooter>
    <oddHeader>&amp;L&amp;"Garamond Premr Pro,Regular"&amp;20&amp;K001892PRICE LIST 2018&amp;16
&amp;20Navigare Yachting - Greece&amp;16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
  <sheetViews>
    <sheetView zoomScaleNormal="100" zoomScaleSheetLayoutView="90" workbookViewId="0">
      <selection activeCell="N11" sqref="N11"/>
    </sheetView>
  </sheetViews>
  <sheetFormatPr defaultColWidth="11" defaultRowHeight="12.75"/>
  <cols>
    <col min="1" max="1" width="29" style="7" customWidth="1"/>
    <col min="2" max="2" width="13.125" style="7" customWidth="1"/>
    <col min="3" max="3" width="7.125" style="7" customWidth="1"/>
    <col min="4" max="4" width="21.375" style="7" customWidth="1"/>
    <col min="5" max="5" width="8.875" style="7" customWidth="1"/>
    <col min="6" max="6" width="15.125" style="7" bestFit="1" customWidth="1"/>
    <col min="7" max="7" width="16.125" style="7" customWidth="1"/>
    <col min="8" max="8" width="14.875" style="7" customWidth="1"/>
    <col min="9" max="9" width="16.5" style="7" customWidth="1"/>
    <col min="10" max="10" width="17.5" style="7" customWidth="1"/>
    <col min="11" max="16384" width="11" style="7"/>
  </cols>
  <sheetData>
    <row r="1" spans="1:10" ht="21">
      <c r="A1" s="126" t="s">
        <v>607</v>
      </c>
      <c r="B1" s="72"/>
      <c r="C1" s="72"/>
      <c r="D1" s="72"/>
      <c r="E1" s="72"/>
      <c r="F1" s="72"/>
      <c r="G1" s="72"/>
      <c r="H1" s="72"/>
      <c r="I1" s="72"/>
      <c r="J1" s="72"/>
    </row>
    <row r="2" spans="1:10" ht="15.75">
      <c r="A2" s="73" t="s">
        <v>130</v>
      </c>
      <c r="B2" s="14"/>
      <c r="C2" s="14"/>
      <c r="D2" s="73"/>
      <c r="E2" s="73"/>
      <c r="F2" s="73"/>
      <c r="G2" s="73"/>
      <c r="H2" s="73"/>
      <c r="I2" s="73"/>
      <c r="J2" s="73"/>
    </row>
    <row r="3" spans="1:10" ht="12.75" customHeight="1">
      <c r="A3" s="468" t="s">
        <v>3</v>
      </c>
      <c r="B3" s="470" t="s">
        <v>98</v>
      </c>
      <c r="C3" s="393" t="s">
        <v>146</v>
      </c>
      <c r="D3" s="446" t="s">
        <v>11</v>
      </c>
      <c r="E3" s="393" t="s">
        <v>151</v>
      </c>
      <c r="F3" s="477" t="s">
        <v>646</v>
      </c>
      <c r="G3" s="446" t="s">
        <v>647</v>
      </c>
      <c r="H3" s="446" t="s">
        <v>648</v>
      </c>
      <c r="I3" s="473" t="s">
        <v>649</v>
      </c>
      <c r="J3" s="475" t="s">
        <v>650</v>
      </c>
    </row>
    <row r="4" spans="1:10" ht="19.5" customHeight="1">
      <c r="A4" s="469"/>
      <c r="B4" s="471"/>
      <c r="C4" s="395"/>
      <c r="D4" s="472"/>
      <c r="E4" s="395"/>
      <c r="F4" s="478"/>
      <c r="G4" s="447"/>
      <c r="H4" s="447"/>
      <c r="I4" s="474"/>
      <c r="J4" s="476"/>
    </row>
    <row r="5" spans="1:10" ht="15.75">
      <c r="A5" s="13" t="s">
        <v>12</v>
      </c>
      <c r="B5" s="46"/>
      <c r="C5" s="46"/>
      <c r="D5" s="47"/>
      <c r="E5" s="55"/>
      <c r="F5" s="55"/>
      <c r="G5" s="55"/>
      <c r="H5" s="83"/>
      <c r="I5" s="83"/>
      <c r="J5" s="83"/>
    </row>
    <row r="6" spans="1:10" ht="15.75">
      <c r="A6" s="101" t="s">
        <v>212</v>
      </c>
      <c r="B6" s="127">
        <v>2017</v>
      </c>
      <c r="C6" s="57" t="s">
        <v>147</v>
      </c>
      <c r="D6" s="127" t="s">
        <v>171</v>
      </c>
      <c r="E6" s="84">
        <v>10</v>
      </c>
      <c r="F6" s="109">
        <v>30000</v>
      </c>
      <c r="G6" s="16">
        <v>24280</v>
      </c>
      <c r="H6" s="108">
        <v>22120</v>
      </c>
      <c r="I6" s="16">
        <v>22120</v>
      </c>
      <c r="J6" s="108">
        <v>22120</v>
      </c>
    </row>
    <row r="7" spans="1:10" ht="15.75">
      <c r="A7" s="136" t="s">
        <v>303</v>
      </c>
      <c r="B7" s="131">
        <v>2018</v>
      </c>
      <c r="C7" s="57" t="s">
        <v>147</v>
      </c>
      <c r="D7" s="127" t="s">
        <v>171</v>
      </c>
      <c r="E7" s="84">
        <v>12</v>
      </c>
      <c r="F7" s="109">
        <v>16790</v>
      </c>
      <c r="G7" s="16">
        <v>15990</v>
      </c>
      <c r="H7" s="108">
        <v>12980</v>
      </c>
      <c r="I7" s="16">
        <v>11040</v>
      </c>
      <c r="J7" s="108">
        <v>9450</v>
      </c>
    </row>
    <row r="8" spans="1:10" ht="15.75">
      <c r="A8" s="136" t="s">
        <v>484</v>
      </c>
      <c r="B8" s="131">
        <v>2018</v>
      </c>
      <c r="C8" s="57" t="s">
        <v>147</v>
      </c>
      <c r="D8" s="234" t="s">
        <v>171</v>
      </c>
      <c r="E8" s="84">
        <v>12</v>
      </c>
      <c r="F8" s="109">
        <v>14200</v>
      </c>
      <c r="G8" s="16">
        <v>13800</v>
      </c>
      <c r="H8" s="108">
        <v>11900</v>
      </c>
      <c r="I8" s="16">
        <v>10000</v>
      </c>
      <c r="J8" s="108">
        <v>8800</v>
      </c>
    </row>
    <row r="9" spans="1:10" ht="15.75">
      <c r="A9" s="136" t="s">
        <v>304</v>
      </c>
      <c r="B9" s="131">
        <v>2018</v>
      </c>
      <c r="C9" s="57" t="s">
        <v>103</v>
      </c>
      <c r="D9" s="127" t="s">
        <v>149</v>
      </c>
      <c r="E9" s="84">
        <v>12</v>
      </c>
      <c r="F9" s="17">
        <v>9670</v>
      </c>
      <c r="G9" s="16">
        <v>9200</v>
      </c>
      <c r="H9" s="17">
        <v>8400</v>
      </c>
      <c r="I9" s="16">
        <v>7640</v>
      </c>
      <c r="J9" s="17">
        <v>6840</v>
      </c>
    </row>
    <row r="10" spans="1:10" ht="15.75">
      <c r="A10" s="51" t="s">
        <v>131</v>
      </c>
      <c r="B10" s="127" t="s">
        <v>227</v>
      </c>
      <c r="C10" s="57" t="s">
        <v>103</v>
      </c>
      <c r="D10" s="127" t="s">
        <v>149</v>
      </c>
      <c r="E10" s="84">
        <v>12</v>
      </c>
      <c r="F10" s="17">
        <v>9210</v>
      </c>
      <c r="G10" s="16">
        <v>8770</v>
      </c>
      <c r="H10" s="17">
        <v>8000</v>
      </c>
      <c r="I10" s="16">
        <v>7280</v>
      </c>
      <c r="J10" s="17">
        <v>6510</v>
      </c>
    </row>
    <row r="11" spans="1:10" ht="15.75">
      <c r="A11" s="15" t="s">
        <v>478</v>
      </c>
      <c r="B11" s="226">
        <v>2010</v>
      </c>
      <c r="C11" s="57" t="s">
        <v>103</v>
      </c>
      <c r="D11" s="226" t="s">
        <v>149</v>
      </c>
      <c r="E11" s="85">
        <v>12</v>
      </c>
      <c r="F11" s="108">
        <v>7660</v>
      </c>
      <c r="G11" s="16">
        <v>7300</v>
      </c>
      <c r="H11" s="108">
        <v>6680</v>
      </c>
      <c r="I11" s="16">
        <v>6050</v>
      </c>
      <c r="J11" s="108">
        <v>5370</v>
      </c>
    </row>
    <row r="12" spans="1:10" ht="15.75">
      <c r="A12" s="136" t="s">
        <v>305</v>
      </c>
      <c r="B12" s="131">
        <v>2018</v>
      </c>
      <c r="C12" s="57" t="s">
        <v>103</v>
      </c>
      <c r="D12" s="127" t="s">
        <v>149</v>
      </c>
      <c r="E12" s="85">
        <v>12</v>
      </c>
      <c r="F12" s="108">
        <v>8350</v>
      </c>
      <c r="G12" s="16">
        <v>7950</v>
      </c>
      <c r="H12" s="108">
        <v>7400</v>
      </c>
      <c r="I12" s="16">
        <v>6800</v>
      </c>
      <c r="J12" s="108">
        <v>6200</v>
      </c>
    </row>
    <row r="13" spans="1:10" ht="15.75">
      <c r="A13" s="136" t="s">
        <v>654</v>
      </c>
      <c r="B13" s="131">
        <v>2018</v>
      </c>
      <c r="C13" s="57" t="s">
        <v>103</v>
      </c>
      <c r="D13" s="290" t="s">
        <v>149</v>
      </c>
      <c r="E13" s="85">
        <v>12</v>
      </c>
      <c r="F13" s="108">
        <v>7850</v>
      </c>
      <c r="G13" s="16">
        <v>7450</v>
      </c>
      <c r="H13" s="108">
        <v>6900</v>
      </c>
      <c r="I13" s="16">
        <v>6350</v>
      </c>
      <c r="J13" s="108">
        <v>5800</v>
      </c>
    </row>
    <row r="14" spans="1:10" ht="15.75">
      <c r="A14" s="15" t="s">
        <v>208</v>
      </c>
      <c r="B14" s="226">
        <v>2015</v>
      </c>
      <c r="C14" s="57" t="s">
        <v>152</v>
      </c>
      <c r="D14" s="31" t="s">
        <v>170</v>
      </c>
      <c r="E14" s="85">
        <v>10</v>
      </c>
      <c r="F14" s="108">
        <v>6530</v>
      </c>
      <c r="G14" s="16">
        <v>6220</v>
      </c>
      <c r="H14" s="108">
        <v>5550</v>
      </c>
      <c r="I14" s="16">
        <v>4860</v>
      </c>
      <c r="J14" s="108">
        <v>4060</v>
      </c>
    </row>
    <row r="15" spans="1:10" ht="15.75">
      <c r="A15" s="15" t="s">
        <v>209</v>
      </c>
      <c r="B15" s="226">
        <v>2013</v>
      </c>
      <c r="C15" s="57" t="s">
        <v>103</v>
      </c>
      <c r="D15" s="226" t="s">
        <v>149</v>
      </c>
      <c r="E15" s="85">
        <v>12</v>
      </c>
      <c r="F15" s="108">
        <v>6530</v>
      </c>
      <c r="G15" s="16">
        <v>6220</v>
      </c>
      <c r="H15" s="108">
        <v>5550</v>
      </c>
      <c r="I15" s="16">
        <v>4860</v>
      </c>
      <c r="J15" s="108">
        <v>4060</v>
      </c>
    </row>
    <row r="16" spans="1:10" ht="15.75">
      <c r="A16" s="480" t="s">
        <v>4</v>
      </c>
      <c r="B16" s="480"/>
      <c r="C16" s="121"/>
      <c r="D16" s="47"/>
      <c r="E16" s="55"/>
      <c r="F16" s="55"/>
      <c r="G16" s="55" t="s">
        <v>81</v>
      </c>
      <c r="H16" s="83"/>
      <c r="I16" s="83"/>
      <c r="J16" s="83"/>
    </row>
    <row r="17" spans="1:10" ht="15.75">
      <c r="A17" s="13" t="s">
        <v>5</v>
      </c>
      <c r="B17" s="59"/>
      <c r="C17" s="59"/>
      <c r="D17" s="59"/>
      <c r="E17" s="59"/>
      <c r="F17" s="59"/>
      <c r="G17" s="20"/>
      <c r="H17" s="20"/>
      <c r="I17" s="20"/>
      <c r="J17" s="20"/>
    </row>
    <row r="18" spans="1:10" ht="15.75">
      <c r="A18" s="15" t="s">
        <v>85</v>
      </c>
      <c r="B18" s="127">
        <v>2013</v>
      </c>
      <c r="C18" s="57">
        <v>4</v>
      </c>
      <c r="D18" s="127" t="s">
        <v>157</v>
      </c>
      <c r="E18" s="84">
        <v>10</v>
      </c>
      <c r="F18" s="109">
        <v>5290</v>
      </c>
      <c r="G18" s="16">
        <v>5040</v>
      </c>
      <c r="H18" s="108">
        <v>4200</v>
      </c>
      <c r="I18" s="16">
        <v>3750</v>
      </c>
      <c r="J18" s="108">
        <v>3200</v>
      </c>
    </row>
    <row r="19" spans="1:10" ht="15.75">
      <c r="A19" s="15" t="s">
        <v>179</v>
      </c>
      <c r="B19" s="127">
        <v>2015</v>
      </c>
      <c r="C19" s="57">
        <v>4</v>
      </c>
      <c r="D19" s="127" t="s">
        <v>157</v>
      </c>
      <c r="E19" s="84">
        <v>10</v>
      </c>
      <c r="F19" s="109">
        <v>4590</v>
      </c>
      <c r="G19" s="16">
        <v>4370</v>
      </c>
      <c r="H19" s="108">
        <v>3630</v>
      </c>
      <c r="I19" s="16">
        <v>3180</v>
      </c>
      <c r="J19" s="108">
        <v>2680</v>
      </c>
    </row>
    <row r="20" spans="1:10" ht="15.75">
      <c r="A20" s="21" t="s">
        <v>53</v>
      </c>
      <c r="B20" s="127">
        <v>2013</v>
      </c>
      <c r="C20" s="57">
        <v>4</v>
      </c>
      <c r="D20" s="127" t="s">
        <v>157</v>
      </c>
      <c r="E20" s="84">
        <v>10</v>
      </c>
      <c r="F20" s="109">
        <v>4590</v>
      </c>
      <c r="G20" s="16">
        <v>4370</v>
      </c>
      <c r="H20" s="108">
        <v>3630</v>
      </c>
      <c r="I20" s="16">
        <v>3180</v>
      </c>
      <c r="J20" s="108">
        <v>2680</v>
      </c>
    </row>
    <row r="21" spans="1:10" ht="15.75">
      <c r="A21" s="13" t="s">
        <v>1</v>
      </c>
      <c r="B21" s="59"/>
      <c r="C21" s="59"/>
      <c r="D21" s="59"/>
      <c r="E21" s="59"/>
      <c r="F21" s="59"/>
      <c r="G21" s="20"/>
      <c r="H21" s="20"/>
      <c r="I21" s="20"/>
      <c r="J21" s="20"/>
    </row>
    <row r="22" spans="1:10" ht="15.75">
      <c r="A22" s="15" t="s">
        <v>132</v>
      </c>
      <c r="B22" s="127">
        <v>2014</v>
      </c>
      <c r="C22" s="57">
        <v>3</v>
      </c>
      <c r="D22" s="127">
        <v>6</v>
      </c>
      <c r="E22" s="84">
        <v>6</v>
      </c>
      <c r="F22" s="109">
        <v>5290</v>
      </c>
      <c r="G22" s="16">
        <v>5040</v>
      </c>
      <c r="H22" s="108">
        <v>4200</v>
      </c>
      <c r="I22" s="16">
        <v>3750</v>
      </c>
      <c r="J22" s="108">
        <v>3200</v>
      </c>
    </row>
    <row r="23" spans="1:10" ht="15.75">
      <c r="A23" s="15" t="s">
        <v>191</v>
      </c>
      <c r="B23" s="127">
        <v>2015</v>
      </c>
      <c r="C23" s="57">
        <v>3</v>
      </c>
      <c r="D23" s="127" t="s">
        <v>159</v>
      </c>
      <c r="E23" s="84">
        <v>8</v>
      </c>
      <c r="F23" s="109">
        <v>5470</v>
      </c>
      <c r="G23" s="16">
        <v>5210</v>
      </c>
      <c r="H23" s="108">
        <v>4330</v>
      </c>
      <c r="I23" s="16">
        <v>3880</v>
      </c>
      <c r="J23" s="108">
        <v>3280</v>
      </c>
    </row>
    <row r="24" spans="1:10" ht="15.75">
      <c r="A24" s="397" t="s">
        <v>112</v>
      </c>
      <c r="B24" s="397"/>
      <c r="C24" s="479"/>
      <c r="D24" s="479"/>
      <c r="E24" s="479"/>
      <c r="F24" s="479"/>
      <c r="G24" s="479"/>
      <c r="H24" s="479"/>
      <c r="I24" s="73"/>
      <c r="J24" s="73"/>
    </row>
    <row r="25" spans="1:10" ht="55.5" customHeight="1">
      <c r="A25" s="466" t="s">
        <v>214</v>
      </c>
      <c r="B25" s="466"/>
      <c r="C25" s="466"/>
      <c r="D25" s="466"/>
      <c r="E25" s="466"/>
      <c r="F25" s="466"/>
      <c r="G25" s="466"/>
      <c r="H25" s="467"/>
      <c r="I25" s="73"/>
      <c r="J25" s="73"/>
    </row>
    <row r="26" spans="1:10">
      <c r="A26" s="310" t="s">
        <v>522</v>
      </c>
      <c r="B26" s="311"/>
      <c r="C26" s="311"/>
      <c r="D26" s="311"/>
      <c r="E26" s="311"/>
      <c r="F26" s="311"/>
      <c r="G26" s="311"/>
      <c r="H26" s="312"/>
      <c r="I26" s="312"/>
      <c r="J26" s="313"/>
    </row>
    <row r="27" spans="1:10" ht="22.5" customHeight="1">
      <c r="A27" s="315"/>
      <c r="B27" s="316"/>
      <c r="C27" s="316"/>
      <c r="D27" s="316"/>
      <c r="E27" s="316"/>
      <c r="F27" s="316"/>
      <c r="G27" s="316"/>
      <c r="H27" s="316"/>
      <c r="I27" s="316"/>
      <c r="J27" s="316"/>
    </row>
    <row r="28" spans="1:10">
      <c r="A28" s="247"/>
      <c r="B28" s="248"/>
      <c r="C28" s="248"/>
      <c r="D28" s="248"/>
      <c r="E28" s="248"/>
      <c r="F28" s="248"/>
      <c r="G28" s="248"/>
      <c r="H28" s="248"/>
      <c r="I28" s="248"/>
      <c r="J28" s="248"/>
    </row>
    <row r="29" spans="1:10" ht="15.75">
      <c r="A29" s="23" t="s">
        <v>8</v>
      </c>
      <c r="B29" s="419" t="s">
        <v>211</v>
      </c>
      <c r="C29" s="420"/>
      <c r="D29" s="420"/>
      <c r="E29" s="420"/>
      <c r="F29" s="420"/>
      <c r="G29" s="420"/>
      <c r="H29" s="420"/>
      <c r="I29" s="420"/>
      <c r="J29" s="421"/>
    </row>
    <row r="30" spans="1:10" ht="21">
      <c r="A30" s="24" t="s">
        <v>218</v>
      </c>
      <c r="B30" s="461"/>
      <c r="C30" s="461"/>
      <c r="D30" s="461"/>
      <c r="E30" s="461"/>
      <c r="F30" s="461"/>
      <c r="G30" s="461"/>
      <c r="H30" s="461"/>
      <c r="I30" s="461"/>
      <c r="J30" s="461"/>
    </row>
    <row r="31" spans="1:10" ht="15.75">
      <c r="A31" s="367" t="s">
        <v>180</v>
      </c>
      <c r="B31" s="369" t="s">
        <v>503</v>
      </c>
      <c r="C31" s="374"/>
      <c r="D31" s="374"/>
      <c r="E31" s="374"/>
      <c r="F31" s="374"/>
      <c r="G31" s="340"/>
      <c r="H31" s="339" t="s">
        <v>281</v>
      </c>
      <c r="I31" s="374"/>
      <c r="J31" s="340"/>
    </row>
    <row r="32" spans="1:10" ht="15.75">
      <c r="A32" s="380"/>
      <c r="B32" s="382"/>
      <c r="C32" s="292"/>
      <c r="D32" s="292"/>
      <c r="E32" s="292"/>
      <c r="F32" s="292"/>
      <c r="G32" s="303"/>
      <c r="H32" s="296"/>
      <c r="I32" s="465"/>
      <c r="J32" s="298"/>
    </row>
    <row r="33" spans="1:10" ht="132" customHeight="1">
      <c r="A33" s="350"/>
      <c r="B33" s="381"/>
      <c r="C33" s="292"/>
      <c r="D33" s="292"/>
      <c r="E33" s="292"/>
      <c r="F33" s="292"/>
      <c r="G33" s="303"/>
      <c r="H33" s="299"/>
      <c r="I33" s="300"/>
      <c r="J33" s="301"/>
    </row>
    <row r="34" spans="1:10" ht="134.25" customHeight="1">
      <c r="A34" s="351"/>
      <c r="B34" s="299"/>
      <c r="C34" s="300"/>
      <c r="D34" s="300"/>
      <c r="E34" s="300"/>
      <c r="F34" s="300"/>
      <c r="G34" s="301"/>
      <c r="H34" s="462" t="s">
        <v>526</v>
      </c>
      <c r="I34" s="463"/>
      <c r="J34" s="464"/>
    </row>
    <row r="35" spans="1:10" ht="24" customHeight="1">
      <c r="A35" s="128" t="s">
        <v>279</v>
      </c>
      <c r="B35" s="406" t="s">
        <v>280</v>
      </c>
      <c r="C35" s="342"/>
      <c r="D35" s="342"/>
      <c r="E35" s="342"/>
      <c r="F35" s="342"/>
      <c r="G35" s="342"/>
      <c r="H35" s="342"/>
      <c r="I35" s="342"/>
      <c r="J35" s="460"/>
    </row>
    <row r="36" spans="1:10" ht="21">
      <c r="A36" s="24" t="s">
        <v>114</v>
      </c>
      <c r="B36" s="461" t="s">
        <v>6</v>
      </c>
      <c r="C36" s="461"/>
      <c r="D36" s="461"/>
      <c r="E36" s="461"/>
      <c r="F36" s="461"/>
      <c r="G36" s="461"/>
      <c r="H36" s="461"/>
      <c r="I36" s="461"/>
      <c r="J36" s="461"/>
    </row>
    <row r="37" spans="1:10" ht="15.75">
      <c r="A37" s="102"/>
      <c r="B37" s="341" t="s">
        <v>219</v>
      </c>
      <c r="C37" s="342"/>
      <c r="D37" s="342"/>
      <c r="E37" s="342"/>
      <c r="F37" s="342"/>
      <c r="G37" s="342"/>
      <c r="H37" s="342"/>
      <c r="I37" s="342"/>
      <c r="J37" s="460"/>
    </row>
    <row r="38" spans="1:10" ht="15.75">
      <c r="A38" s="325" t="s">
        <v>133</v>
      </c>
      <c r="B38" s="339" t="s">
        <v>269</v>
      </c>
      <c r="C38" s="374"/>
      <c r="D38" s="374"/>
      <c r="E38" s="374"/>
      <c r="F38" s="374"/>
      <c r="G38" s="374"/>
      <c r="H38" s="374"/>
      <c r="I38" s="374"/>
      <c r="J38" s="340"/>
    </row>
    <row r="39" spans="1:10" ht="15.75">
      <c r="A39" s="364"/>
      <c r="B39" s="302" t="s">
        <v>225</v>
      </c>
      <c r="C39" s="292"/>
      <c r="D39" s="292"/>
      <c r="E39" s="292"/>
      <c r="F39" s="292"/>
      <c r="G39" s="292"/>
      <c r="H39" s="292"/>
      <c r="I39" s="292"/>
      <c r="J39" s="303"/>
    </row>
    <row r="40" spans="1:10" ht="15.75">
      <c r="A40" s="241" t="s">
        <v>491</v>
      </c>
      <c r="B40" s="381" t="s">
        <v>495</v>
      </c>
      <c r="C40" s="382"/>
      <c r="D40" s="382"/>
      <c r="E40" s="382"/>
      <c r="F40" s="382"/>
      <c r="G40" s="382"/>
      <c r="H40" s="382"/>
      <c r="I40" s="382"/>
      <c r="J40" s="383"/>
    </row>
    <row r="41" spans="1:10" ht="15.75">
      <c r="A41" s="116" t="s">
        <v>270</v>
      </c>
      <c r="B41" s="341" t="s">
        <v>268</v>
      </c>
      <c r="C41" s="342"/>
      <c r="D41" s="342"/>
      <c r="E41" s="342"/>
      <c r="F41" s="342"/>
      <c r="G41" s="342"/>
      <c r="H41" s="342"/>
      <c r="I41" s="342"/>
      <c r="J41" s="460"/>
    </row>
    <row r="42" spans="1:10" ht="15.75">
      <c r="A42" s="367" t="s">
        <v>271</v>
      </c>
      <c r="B42" s="341" t="s">
        <v>272</v>
      </c>
      <c r="C42" s="342"/>
      <c r="D42" s="342"/>
      <c r="E42" s="342"/>
      <c r="F42" s="342"/>
      <c r="G42" s="342"/>
      <c r="H42" s="342"/>
      <c r="I42" s="342"/>
      <c r="J42" s="460"/>
    </row>
    <row r="43" spans="1:10" ht="15.75">
      <c r="A43" s="350"/>
      <c r="B43" s="341" t="s">
        <v>273</v>
      </c>
      <c r="C43" s="342"/>
      <c r="D43" s="342"/>
      <c r="E43" s="342"/>
      <c r="F43" s="342"/>
      <c r="G43" s="342"/>
      <c r="H43" s="342"/>
      <c r="I43" s="342"/>
      <c r="J43" s="460"/>
    </row>
    <row r="44" spans="1:10" ht="15.75">
      <c r="A44" s="351"/>
      <c r="B44" s="341" t="s">
        <v>274</v>
      </c>
      <c r="C44" s="342"/>
      <c r="D44" s="342"/>
      <c r="E44" s="342"/>
      <c r="F44" s="342"/>
      <c r="G44" s="342"/>
      <c r="H44" s="342"/>
      <c r="I44" s="342"/>
      <c r="J44" s="460"/>
    </row>
    <row r="45" spans="1:10" ht="15.75">
      <c r="A45" s="116" t="s">
        <v>122</v>
      </c>
      <c r="B45" s="339" t="s">
        <v>221</v>
      </c>
      <c r="C45" s="374"/>
      <c r="D45" s="374"/>
      <c r="E45" s="374"/>
      <c r="F45" s="374"/>
      <c r="G45" s="374"/>
      <c r="H45" s="374"/>
      <c r="I45" s="374"/>
      <c r="J45" s="340"/>
    </row>
    <row r="46" spans="1:10" ht="15.75">
      <c r="A46" s="122" t="s">
        <v>134</v>
      </c>
      <c r="B46" s="341" t="s">
        <v>220</v>
      </c>
      <c r="C46" s="342"/>
      <c r="D46" s="342"/>
      <c r="E46" s="342"/>
      <c r="F46" s="342"/>
      <c r="G46" s="342"/>
      <c r="H46" s="342"/>
      <c r="I46" s="342"/>
      <c r="J46" s="460"/>
    </row>
    <row r="47" spans="1:10" ht="21">
      <c r="A47" s="86" t="s">
        <v>100</v>
      </c>
      <c r="B47" s="80"/>
      <c r="C47" s="80"/>
      <c r="D47" s="80"/>
      <c r="E47" s="80"/>
      <c r="F47" s="80"/>
      <c r="G47" s="80"/>
      <c r="H47" s="80"/>
      <c r="I47" s="80"/>
      <c r="J47" s="80"/>
    </row>
    <row r="48" spans="1:10" ht="15.75" customHeight="1">
      <c r="A48" s="325" t="s">
        <v>2</v>
      </c>
      <c r="B48" s="327" t="s">
        <v>461</v>
      </c>
      <c r="C48" s="328"/>
      <c r="D48" s="328"/>
      <c r="E48" s="328"/>
      <c r="F48" s="328"/>
      <c r="G48" s="328"/>
      <c r="H48" s="328"/>
      <c r="I48" s="328"/>
      <c r="J48" s="329"/>
    </row>
    <row r="49" spans="1:10" ht="15.75" customHeight="1">
      <c r="A49" s="326"/>
      <c r="B49" s="302" t="s">
        <v>66</v>
      </c>
      <c r="C49" s="292"/>
      <c r="D49" s="292"/>
      <c r="E49" s="292"/>
      <c r="F49" s="292"/>
      <c r="G49" s="292"/>
      <c r="H49" s="292"/>
      <c r="I49" s="292"/>
      <c r="J49" s="303"/>
    </row>
    <row r="50" spans="1:10" ht="15.75" customHeight="1">
      <c r="A50" s="368"/>
      <c r="B50" s="302" t="s">
        <v>67</v>
      </c>
      <c r="C50" s="292"/>
      <c r="D50" s="292"/>
      <c r="E50" s="292"/>
      <c r="F50" s="292"/>
      <c r="G50" s="292"/>
      <c r="H50" s="292"/>
      <c r="I50" s="292"/>
      <c r="J50" s="303"/>
    </row>
    <row r="51" spans="1:10" ht="15.75" customHeight="1">
      <c r="A51" s="368"/>
      <c r="B51" s="302" t="s">
        <v>315</v>
      </c>
      <c r="C51" s="292"/>
      <c r="D51" s="292"/>
      <c r="E51" s="292"/>
      <c r="F51" s="292"/>
      <c r="G51" s="292"/>
      <c r="H51" s="292"/>
      <c r="I51" s="292"/>
      <c r="J51" s="303"/>
    </row>
    <row r="52" spans="1:10" ht="15.75" customHeight="1">
      <c r="A52" s="368"/>
      <c r="B52" s="302" t="s">
        <v>301</v>
      </c>
      <c r="C52" s="292"/>
      <c r="D52" s="292"/>
      <c r="E52" s="292"/>
      <c r="F52" s="292"/>
      <c r="G52" s="292"/>
      <c r="H52" s="292"/>
      <c r="I52" s="292"/>
      <c r="J52" s="303"/>
    </row>
    <row r="53" spans="1:10" ht="15.75" customHeight="1">
      <c r="A53" s="368"/>
      <c r="B53" s="302" t="s">
        <v>512</v>
      </c>
      <c r="C53" s="292"/>
      <c r="D53" s="292"/>
      <c r="E53" s="292"/>
      <c r="F53" s="292"/>
      <c r="G53" s="292"/>
      <c r="H53" s="292"/>
      <c r="I53" s="292"/>
      <c r="J53" s="303"/>
    </row>
    <row r="54" spans="1:10" ht="15.75">
      <c r="A54" s="368"/>
      <c r="B54" s="302" t="s">
        <v>310</v>
      </c>
      <c r="C54" s="292"/>
      <c r="D54" s="292"/>
      <c r="E54" s="292"/>
      <c r="F54" s="292"/>
      <c r="G54" s="292"/>
      <c r="H54" s="292"/>
      <c r="I54" s="292"/>
      <c r="J54" s="303"/>
    </row>
    <row r="55" spans="1:10" ht="15.75" customHeight="1">
      <c r="A55" s="368"/>
      <c r="B55" s="302" t="s">
        <v>215</v>
      </c>
      <c r="C55" s="292"/>
      <c r="D55" s="292"/>
      <c r="E55" s="292"/>
      <c r="F55" s="292"/>
      <c r="G55" s="292"/>
      <c r="H55" s="292"/>
      <c r="I55" s="112"/>
      <c r="J55" s="113"/>
    </row>
    <row r="56" spans="1:10" ht="15.75">
      <c r="A56" s="368"/>
      <c r="B56" s="381" t="s">
        <v>87</v>
      </c>
      <c r="C56" s="382"/>
      <c r="D56" s="382"/>
      <c r="E56" s="382"/>
      <c r="F56" s="382"/>
      <c r="G56" s="382"/>
      <c r="H56" s="382"/>
      <c r="I56" s="112"/>
      <c r="J56" s="113"/>
    </row>
    <row r="57" spans="1:10" ht="15.75">
      <c r="A57" s="114" t="s">
        <v>124</v>
      </c>
      <c r="B57" s="339" t="s">
        <v>125</v>
      </c>
      <c r="C57" s="374"/>
      <c r="D57" s="374"/>
      <c r="E57" s="374"/>
      <c r="F57" s="374"/>
      <c r="G57" s="340"/>
      <c r="H57" s="339" t="s">
        <v>135</v>
      </c>
      <c r="I57" s="374"/>
      <c r="J57" s="340"/>
    </row>
    <row r="58" spans="1:10" ht="35.25" customHeight="1">
      <c r="A58" s="117" t="s">
        <v>106</v>
      </c>
      <c r="B58" s="347" t="s">
        <v>125</v>
      </c>
      <c r="C58" s="348"/>
      <c r="D58" s="348"/>
      <c r="E58" s="348"/>
      <c r="F58" s="348"/>
      <c r="G58" s="349"/>
      <c r="H58" s="347" t="s">
        <v>136</v>
      </c>
      <c r="I58" s="348"/>
      <c r="J58" s="349"/>
    </row>
    <row r="59" spans="1:10" ht="15.75">
      <c r="A59" s="114" t="s">
        <v>105</v>
      </c>
      <c r="B59" s="339" t="s">
        <v>145</v>
      </c>
      <c r="C59" s="374"/>
      <c r="D59" s="374"/>
      <c r="E59" s="292"/>
      <c r="F59" s="292"/>
      <c r="G59" s="292"/>
      <c r="H59" s="292"/>
      <c r="I59" s="292"/>
      <c r="J59" s="303"/>
    </row>
    <row r="60" spans="1:10" ht="15.75">
      <c r="A60" s="128" t="s">
        <v>75</v>
      </c>
      <c r="B60" s="341" t="s">
        <v>129</v>
      </c>
      <c r="C60" s="342"/>
      <c r="D60" s="342"/>
      <c r="E60" s="342"/>
      <c r="F60" s="342"/>
      <c r="G60" s="342"/>
      <c r="H60" s="342"/>
      <c r="I60" s="342"/>
      <c r="J60" s="460"/>
    </row>
  </sheetData>
  <mergeCells count="52">
    <mergeCell ref="A26:J27"/>
    <mergeCell ref="A25:H25"/>
    <mergeCell ref="A3:A4"/>
    <mergeCell ref="B3:B4"/>
    <mergeCell ref="D3:D4"/>
    <mergeCell ref="G3:G4"/>
    <mergeCell ref="H3:H4"/>
    <mergeCell ref="C3:C4"/>
    <mergeCell ref="E3:E4"/>
    <mergeCell ref="I3:I4"/>
    <mergeCell ref="J3:J4"/>
    <mergeCell ref="F3:F4"/>
    <mergeCell ref="A24:H24"/>
    <mergeCell ref="A16:B16"/>
    <mergeCell ref="B29:J29"/>
    <mergeCell ref="B30:J30"/>
    <mergeCell ref="B31:G31"/>
    <mergeCell ref="B32:G32"/>
    <mergeCell ref="H31:J33"/>
    <mergeCell ref="A31:A34"/>
    <mergeCell ref="B33:G34"/>
    <mergeCell ref="B36:J36"/>
    <mergeCell ref="B46:J46"/>
    <mergeCell ref="B45:J45"/>
    <mergeCell ref="B37:J37"/>
    <mergeCell ref="B38:J38"/>
    <mergeCell ref="B39:J39"/>
    <mergeCell ref="H34:J34"/>
    <mergeCell ref="A42:A44"/>
    <mergeCell ref="A38:A39"/>
    <mergeCell ref="B35:J35"/>
    <mergeCell ref="B41:J41"/>
    <mergeCell ref="B42:J42"/>
    <mergeCell ref="B43:J43"/>
    <mergeCell ref="B44:J44"/>
    <mergeCell ref="B60:J60"/>
    <mergeCell ref="B57:G57"/>
    <mergeCell ref="H57:J57"/>
    <mergeCell ref="B58:G58"/>
    <mergeCell ref="H58:J58"/>
    <mergeCell ref="B59:J59"/>
    <mergeCell ref="B40:J40"/>
    <mergeCell ref="A48:A56"/>
    <mergeCell ref="B48:J48"/>
    <mergeCell ref="B49:J49"/>
    <mergeCell ref="B50:J50"/>
    <mergeCell ref="B52:J52"/>
    <mergeCell ref="B53:J53"/>
    <mergeCell ref="B54:J54"/>
    <mergeCell ref="B51:J51"/>
    <mergeCell ref="B56:H56"/>
    <mergeCell ref="B55:H55"/>
  </mergeCells>
  <printOptions horizontalCentered="1"/>
  <pageMargins left="6.4583333333333333E-3" right="1.2308333333333332" top="1.71" bottom="0.98" header="0.51" footer="0.51"/>
  <pageSetup paperSize="9" scale="49" fitToHeight="0" orientation="portrait" r:id="rId1"/>
  <headerFooter>
    <oddHeader>&amp;L&amp;"Garamond Premr Pro,Regular"&amp;20&amp;K001892PRICE LIST 2018&amp;16
&amp;20Navigare Yachting - BVI&amp;16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3"/>
  <sheetViews>
    <sheetView topLeftCell="G37" zoomScaleSheetLayoutView="90" workbookViewId="0">
      <selection activeCell="G53" sqref="G53:P60"/>
    </sheetView>
  </sheetViews>
  <sheetFormatPr defaultColWidth="8.625" defaultRowHeight="12.75"/>
  <cols>
    <col min="1" max="2" width="9.875" style="1" hidden="1" customWidth="1"/>
    <col min="3" max="3" width="3.625" style="1" hidden="1" customWidth="1"/>
    <col min="4" max="6" width="4.875" style="1" hidden="1" customWidth="1"/>
    <col min="7" max="7" width="27.125" style="1" customWidth="1"/>
    <col min="8" max="8" width="8.625" style="1"/>
    <col min="9" max="9" width="8.375" style="1" customWidth="1"/>
    <col min="10" max="10" width="8.625" style="1"/>
    <col min="11" max="11" width="8.625" style="1" customWidth="1"/>
    <col min="12" max="16" width="18.125" style="1" customWidth="1"/>
    <col min="17" max="16384" width="8.625" style="1"/>
  </cols>
  <sheetData>
    <row r="1" spans="1:16" ht="21">
      <c r="A1" s="41"/>
      <c r="B1" s="41"/>
      <c r="C1" s="41"/>
      <c r="D1" s="41"/>
      <c r="E1" s="41"/>
      <c r="F1" s="41"/>
      <c r="G1" s="503" t="s">
        <v>365</v>
      </c>
      <c r="H1" s="503"/>
      <c r="I1" s="503"/>
      <c r="J1" s="503"/>
      <c r="K1" s="503"/>
      <c r="L1" s="503"/>
      <c r="M1" s="126"/>
      <c r="N1" s="126"/>
      <c r="O1" s="126"/>
      <c r="P1" s="126"/>
    </row>
    <row r="2" spans="1:16" ht="15.75">
      <c r="G2" s="73" t="s">
        <v>366</v>
      </c>
      <c r="H2" s="172"/>
      <c r="I2" s="172"/>
      <c r="J2" s="73"/>
      <c r="K2" s="73"/>
      <c r="L2" s="73"/>
      <c r="M2" s="73"/>
      <c r="N2" s="192"/>
      <c r="O2" s="73"/>
      <c r="P2" s="73"/>
    </row>
    <row r="3" spans="1:16" ht="15.75" customHeight="1">
      <c r="G3" s="458" t="s">
        <v>3</v>
      </c>
      <c r="H3" s="506" t="s">
        <v>98</v>
      </c>
      <c r="I3" s="393" t="s">
        <v>146</v>
      </c>
      <c r="J3" s="446" t="s">
        <v>11</v>
      </c>
      <c r="K3" s="393" t="s">
        <v>151</v>
      </c>
      <c r="L3" s="193" t="s">
        <v>367</v>
      </c>
      <c r="M3" s="193" t="s">
        <v>368</v>
      </c>
      <c r="N3" s="473" t="s">
        <v>369</v>
      </c>
      <c r="O3" s="473" t="s">
        <v>370</v>
      </c>
      <c r="P3" s="473" t="s">
        <v>371</v>
      </c>
    </row>
    <row r="4" spans="1:16" ht="15.75">
      <c r="G4" s="505"/>
      <c r="H4" s="507"/>
      <c r="I4" s="395"/>
      <c r="J4" s="472"/>
      <c r="K4" s="395"/>
      <c r="L4" s="193" t="s">
        <v>372</v>
      </c>
      <c r="M4" s="193" t="s">
        <v>373</v>
      </c>
      <c r="N4" s="474"/>
      <c r="O4" s="508"/>
      <c r="P4" s="508"/>
    </row>
    <row r="5" spans="1:16" ht="15.75" customHeight="1">
      <c r="G5" s="480" t="s">
        <v>4</v>
      </c>
      <c r="H5" s="480"/>
      <c r="I5" s="480"/>
      <c r="J5" s="480"/>
      <c r="K5" s="480"/>
      <c r="L5" s="480"/>
      <c r="M5" s="480"/>
      <c r="N5" s="480"/>
      <c r="O5" s="480"/>
      <c r="P5" s="480"/>
    </row>
    <row r="6" spans="1:16" ht="15.75" customHeight="1">
      <c r="G6" s="504" t="s">
        <v>63</v>
      </c>
      <c r="H6" s="504"/>
      <c r="I6" s="504"/>
      <c r="J6" s="504"/>
      <c r="K6" s="504"/>
      <c r="L6" s="504"/>
      <c r="M6" s="504"/>
      <c r="N6" s="504"/>
      <c r="O6" s="504"/>
      <c r="P6" s="504"/>
    </row>
    <row r="7" spans="1:16" ht="15.75" customHeight="1">
      <c r="G7" s="194" t="s">
        <v>335</v>
      </c>
      <c r="H7" s="195" t="s">
        <v>374</v>
      </c>
      <c r="I7" s="196" t="s">
        <v>334</v>
      </c>
      <c r="J7" s="197" t="s">
        <v>375</v>
      </c>
      <c r="K7" s="198">
        <v>11</v>
      </c>
      <c r="L7" s="16">
        <v>2620</v>
      </c>
      <c r="M7" s="17">
        <v>3640</v>
      </c>
      <c r="N7" s="16">
        <v>4820</v>
      </c>
      <c r="O7" s="17">
        <v>5280</v>
      </c>
      <c r="P7" s="16">
        <v>5660</v>
      </c>
    </row>
    <row r="8" spans="1:16" ht="15.75" customHeight="1">
      <c r="G8" s="13" t="s">
        <v>5</v>
      </c>
      <c r="H8" s="199" t="s">
        <v>81</v>
      </c>
      <c r="I8" s="199"/>
      <c r="J8" s="199"/>
      <c r="K8" s="199"/>
      <c r="L8" s="20"/>
      <c r="M8" s="20"/>
      <c r="N8" s="20"/>
      <c r="O8" s="200"/>
      <c r="P8" s="218"/>
    </row>
    <row r="9" spans="1:16" ht="15.75" customHeight="1">
      <c r="G9" s="201" t="s">
        <v>376</v>
      </c>
      <c r="H9" s="202">
        <v>2006</v>
      </c>
      <c r="I9" s="203">
        <v>4</v>
      </c>
      <c r="J9" s="197" t="s">
        <v>377</v>
      </c>
      <c r="K9" s="165">
        <v>10</v>
      </c>
      <c r="L9" s="19">
        <v>2300</v>
      </c>
      <c r="M9" s="17">
        <v>3190</v>
      </c>
      <c r="N9" s="16">
        <v>4140</v>
      </c>
      <c r="O9" s="17">
        <v>4440</v>
      </c>
      <c r="P9" s="16">
        <v>4750</v>
      </c>
    </row>
    <row r="10" spans="1:16" ht="15.75" customHeight="1">
      <c r="G10" s="15" t="s">
        <v>7</v>
      </c>
      <c r="H10" s="202">
        <v>2010</v>
      </c>
      <c r="I10" s="203">
        <v>4</v>
      </c>
      <c r="J10" s="197" t="s">
        <v>377</v>
      </c>
      <c r="K10" s="165">
        <v>10</v>
      </c>
      <c r="L10" s="19">
        <v>2450</v>
      </c>
      <c r="M10" s="17">
        <v>3350</v>
      </c>
      <c r="N10" s="16">
        <v>4430</v>
      </c>
      <c r="O10" s="17">
        <v>4860</v>
      </c>
      <c r="P10" s="16">
        <v>4950</v>
      </c>
    </row>
    <row r="11" spans="1:16" ht="15.75" customHeight="1">
      <c r="G11" s="13" t="s">
        <v>1</v>
      </c>
      <c r="H11" s="199"/>
      <c r="I11" s="199"/>
      <c r="J11" s="199"/>
      <c r="K11" s="204"/>
      <c r="L11" s="30"/>
      <c r="M11" s="30"/>
      <c r="N11" s="30"/>
      <c r="O11" s="205"/>
      <c r="P11" s="219"/>
    </row>
    <row r="12" spans="1:16" ht="15.75" customHeight="1">
      <c r="G12" s="201" t="s">
        <v>378</v>
      </c>
      <c r="H12" s="202" t="s">
        <v>374</v>
      </c>
      <c r="I12" s="203">
        <v>3</v>
      </c>
      <c r="J12" s="197" t="s">
        <v>379</v>
      </c>
      <c r="K12" s="165">
        <v>8</v>
      </c>
      <c r="L12" s="16">
        <v>1900</v>
      </c>
      <c r="M12" s="17">
        <v>2650</v>
      </c>
      <c r="N12" s="16">
        <v>3220</v>
      </c>
      <c r="O12" s="17">
        <v>3540</v>
      </c>
      <c r="P12" s="16">
        <v>3620</v>
      </c>
    </row>
    <row r="13" spans="1:16" ht="15.75" customHeight="1">
      <c r="G13" s="206" t="s">
        <v>380</v>
      </c>
      <c r="H13" s="207" t="s">
        <v>341</v>
      </c>
      <c r="I13" s="208" t="s">
        <v>343</v>
      </c>
      <c r="J13" s="197" t="s">
        <v>379</v>
      </c>
      <c r="K13" s="165">
        <v>7</v>
      </c>
      <c r="L13" s="19">
        <v>2000</v>
      </c>
      <c r="M13" s="17">
        <v>2780</v>
      </c>
      <c r="N13" s="16">
        <v>3390</v>
      </c>
      <c r="O13" s="17">
        <v>3720</v>
      </c>
      <c r="P13" s="16">
        <v>3800</v>
      </c>
    </row>
    <row r="14" spans="1:16" ht="15.75" customHeight="1">
      <c r="G14" s="206" t="s">
        <v>381</v>
      </c>
      <c r="H14" s="207" t="s">
        <v>382</v>
      </c>
      <c r="I14" s="208" t="s">
        <v>343</v>
      </c>
      <c r="J14" s="197" t="s">
        <v>379</v>
      </c>
      <c r="K14" s="165">
        <v>7</v>
      </c>
      <c r="L14" s="19">
        <v>1630</v>
      </c>
      <c r="M14" s="17">
        <v>2270</v>
      </c>
      <c r="N14" s="16">
        <v>2530</v>
      </c>
      <c r="O14" s="17">
        <v>2960</v>
      </c>
      <c r="P14" s="16">
        <v>3010</v>
      </c>
    </row>
    <row r="15" spans="1:16" ht="15.75" customHeight="1">
      <c r="G15" s="206" t="s">
        <v>383</v>
      </c>
      <c r="H15" s="207" t="s">
        <v>47</v>
      </c>
      <c r="I15" s="208" t="s">
        <v>343</v>
      </c>
      <c r="J15" s="197" t="s">
        <v>379</v>
      </c>
      <c r="K15" s="165">
        <v>7</v>
      </c>
      <c r="L15" s="19">
        <v>1820</v>
      </c>
      <c r="M15" s="17">
        <v>2530</v>
      </c>
      <c r="N15" s="16">
        <v>3030</v>
      </c>
      <c r="O15" s="17">
        <v>3430</v>
      </c>
      <c r="P15" s="16">
        <v>3490</v>
      </c>
    </row>
    <row r="16" spans="1:16" ht="15.75" customHeight="1">
      <c r="G16" s="206" t="s">
        <v>342</v>
      </c>
      <c r="H16" s="207" t="s">
        <v>14</v>
      </c>
      <c r="I16" s="208" t="s">
        <v>343</v>
      </c>
      <c r="J16" s="197" t="s">
        <v>379</v>
      </c>
      <c r="K16" s="209">
        <v>6</v>
      </c>
      <c r="L16" s="19">
        <v>1820</v>
      </c>
      <c r="M16" s="17">
        <v>2530</v>
      </c>
      <c r="N16" s="16">
        <v>3030</v>
      </c>
      <c r="O16" s="17">
        <v>3430</v>
      </c>
      <c r="P16" s="16">
        <v>3490</v>
      </c>
    </row>
    <row r="17" spans="7:16" ht="15.75" customHeight="1">
      <c r="G17" s="210" t="s">
        <v>559</v>
      </c>
      <c r="H17" s="211" t="s">
        <v>86</v>
      </c>
      <c r="I17" s="212" t="s">
        <v>343</v>
      </c>
      <c r="J17" s="197" t="s">
        <v>379</v>
      </c>
      <c r="K17" s="213">
        <v>7</v>
      </c>
      <c r="L17" s="19">
        <v>2000</v>
      </c>
      <c r="M17" s="17">
        <v>2780</v>
      </c>
      <c r="N17" s="16">
        <v>3390</v>
      </c>
      <c r="O17" s="17">
        <v>3720</v>
      </c>
      <c r="P17" s="16">
        <v>3800</v>
      </c>
    </row>
    <row r="18" spans="7:16" ht="15.75" customHeight="1">
      <c r="G18" s="210" t="s">
        <v>384</v>
      </c>
      <c r="H18" s="211" t="s">
        <v>341</v>
      </c>
      <c r="I18" s="212" t="s">
        <v>343</v>
      </c>
      <c r="J18" s="197" t="s">
        <v>379</v>
      </c>
      <c r="K18" s="213">
        <v>7</v>
      </c>
      <c r="L18" s="19">
        <v>1760</v>
      </c>
      <c r="M18" s="17">
        <v>2450</v>
      </c>
      <c r="N18" s="16">
        <v>2870</v>
      </c>
      <c r="O18" s="17">
        <v>3250</v>
      </c>
      <c r="P18" s="16">
        <v>3310</v>
      </c>
    </row>
    <row r="19" spans="7:16" ht="15.75" customHeight="1">
      <c r="G19" s="214" t="s">
        <v>385</v>
      </c>
      <c r="H19" s="215">
        <v>2011</v>
      </c>
      <c r="I19" s="216">
        <v>3</v>
      </c>
      <c r="J19" s="197" t="s">
        <v>379</v>
      </c>
      <c r="K19" s="217" t="s">
        <v>386</v>
      </c>
      <c r="L19" s="19">
        <v>1700</v>
      </c>
      <c r="M19" s="17">
        <v>2370</v>
      </c>
      <c r="N19" s="16">
        <v>2730</v>
      </c>
      <c r="O19" s="17">
        <v>3050</v>
      </c>
      <c r="P19" s="16">
        <v>3110</v>
      </c>
    </row>
    <row r="20" spans="7:16" ht="15.75" customHeight="1">
      <c r="G20" s="13" t="s">
        <v>387</v>
      </c>
      <c r="H20" s="199"/>
      <c r="I20" s="199"/>
      <c r="J20" s="199"/>
      <c r="K20" s="204"/>
      <c r="L20" s="30"/>
      <c r="M20" s="30"/>
      <c r="N20" s="30"/>
      <c r="O20" s="205"/>
      <c r="P20" s="219"/>
    </row>
    <row r="21" spans="7:16" ht="15.75" customHeight="1">
      <c r="G21" s="214" t="s">
        <v>388</v>
      </c>
      <c r="H21" s="174" t="s">
        <v>389</v>
      </c>
      <c r="I21" s="175" t="s">
        <v>390</v>
      </c>
      <c r="J21" s="31">
        <v>4</v>
      </c>
      <c r="K21" s="165">
        <v>4</v>
      </c>
      <c r="L21" s="16">
        <v>1200</v>
      </c>
      <c r="M21" s="17">
        <v>1670</v>
      </c>
      <c r="N21" s="16">
        <v>1780</v>
      </c>
      <c r="O21" s="17">
        <v>2000</v>
      </c>
      <c r="P21" s="16">
        <v>2140</v>
      </c>
    </row>
    <row r="22" spans="7:16" ht="15.75" customHeight="1"/>
    <row r="23" spans="7:16" ht="15.75" customHeight="1">
      <c r="G23" s="509" t="s">
        <v>391</v>
      </c>
      <c r="H23" s="509"/>
      <c r="I23" s="509"/>
      <c r="J23" s="509"/>
      <c r="K23" s="509"/>
      <c r="L23" s="509"/>
      <c r="M23" s="509"/>
      <c r="N23" s="509"/>
      <c r="O23" s="509"/>
      <c r="P23" s="510"/>
    </row>
    <row r="24" spans="7:16" ht="15.75" customHeight="1"/>
    <row r="25" spans="7:16">
      <c r="G25" s="310" t="s">
        <v>522</v>
      </c>
      <c r="H25" s="311"/>
      <c r="I25" s="311"/>
      <c r="J25" s="311"/>
      <c r="K25" s="311"/>
      <c r="L25" s="311"/>
      <c r="M25" s="311"/>
      <c r="N25" s="312"/>
      <c r="O25" s="312"/>
      <c r="P25" s="314"/>
    </row>
    <row r="26" spans="7:16" ht="20.25" customHeight="1">
      <c r="G26" s="315"/>
      <c r="H26" s="316"/>
      <c r="I26" s="316"/>
      <c r="J26" s="316"/>
      <c r="K26" s="316"/>
      <c r="L26" s="316"/>
      <c r="M26" s="316"/>
      <c r="N26" s="316"/>
      <c r="O26" s="316"/>
      <c r="P26" s="317"/>
    </row>
    <row r="28" spans="7:16" ht="18.75" customHeight="1">
      <c r="G28" s="35" t="s">
        <v>8</v>
      </c>
      <c r="H28" s="398" t="s">
        <v>392</v>
      </c>
      <c r="I28" s="399"/>
      <c r="J28" s="399"/>
      <c r="K28" s="399"/>
      <c r="L28" s="399"/>
      <c r="M28" s="399"/>
      <c r="N28" s="399"/>
      <c r="O28" s="399"/>
      <c r="P28" s="400"/>
    </row>
    <row r="29" spans="7:16" ht="21">
      <c r="G29" s="220" t="s">
        <v>351</v>
      </c>
      <c r="H29" s="221" t="s">
        <v>6</v>
      </c>
      <c r="I29" s="221"/>
      <c r="J29" s="24"/>
      <c r="K29" s="24"/>
      <c r="L29" s="24"/>
      <c r="M29" s="24"/>
      <c r="N29" s="24"/>
      <c r="O29" s="24"/>
      <c r="P29" s="24"/>
    </row>
    <row r="30" spans="7:16" ht="16.5" customHeight="1">
      <c r="G30" s="143" t="s">
        <v>15</v>
      </c>
      <c r="H30" s="339" t="s">
        <v>466</v>
      </c>
      <c r="I30" s="374"/>
      <c r="J30" s="374"/>
      <c r="K30" s="374"/>
      <c r="L30" s="374"/>
      <c r="M30" s="374"/>
      <c r="N30" s="374"/>
      <c r="O30" s="374"/>
      <c r="P30" s="340"/>
    </row>
    <row r="31" spans="7:16" ht="16.5" customHeight="1">
      <c r="G31" s="26" t="s">
        <v>104</v>
      </c>
      <c r="H31" s="347" t="s">
        <v>467</v>
      </c>
      <c r="I31" s="348"/>
      <c r="J31" s="348"/>
      <c r="K31" s="348"/>
      <c r="L31" s="348"/>
      <c r="M31" s="348"/>
      <c r="N31" s="348"/>
      <c r="O31" s="348"/>
      <c r="P31" s="349"/>
    </row>
    <row r="32" spans="7:16" ht="15.75" customHeight="1">
      <c r="G32" s="26" t="s">
        <v>491</v>
      </c>
      <c r="H32" s="322" t="s">
        <v>495</v>
      </c>
      <c r="I32" s="323"/>
      <c r="J32" s="323"/>
      <c r="K32" s="323"/>
      <c r="L32" s="323"/>
      <c r="M32" s="323"/>
      <c r="N32" s="323"/>
      <c r="O32" s="323"/>
      <c r="P32" s="324"/>
    </row>
    <row r="33" spans="7:16" ht="15.75" customHeight="1">
      <c r="G33" s="326" t="s">
        <v>474</v>
      </c>
      <c r="H33" s="500" t="s">
        <v>465</v>
      </c>
      <c r="I33" s="501"/>
      <c r="J33" s="501"/>
      <c r="K33" s="501"/>
      <c r="L33" s="501"/>
      <c r="M33" s="501"/>
      <c r="N33" s="501"/>
      <c r="O33" s="501"/>
      <c r="P33" s="502"/>
    </row>
    <row r="34" spans="7:16" ht="36.75" customHeight="1">
      <c r="G34" s="375"/>
      <c r="H34" s="377" t="s">
        <v>477</v>
      </c>
      <c r="I34" s="378"/>
      <c r="J34" s="378"/>
      <c r="K34" s="378"/>
      <c r="L34" s="378"/>
      <c r="M34" s="378"/>
      <c r="N34" s="378"/>
      <c r="O34" s="378"/>
      <c r="P34" s="379"/>
    </row>
    <row r="35" spans="7:16" ht="15.75">
      <c r="G35" s="325" t="s">
        <v>475</v>
      </c>
      <c r="H35" s="493" t="s">
        <v>393</v>
      </c>
      <c r="I35" s="494"/>
      <c r="J35" s="454"/>
      <c r="K35" s="454"/>
      <c r="L35" s="454"/>
      <c r="M35" s="454"/>
      <c r="N35" s="454"/>
      <c r="O35" s="454"/>
      <c r="P35" s="495"/>
    </row>
    <row r="36" spans="7:16" ht="15.75">
      <c r="G36" s="326"/>
      <c r="H36" s="496" t="s">
        <v>394</v>
      </c>
      <c r="I36" s="497"/>
      <c r="J36" s="498"/>
      <c r="K36" s="498"/>
      <c r="L36" s="498"/>
      <c r="M36" s="498"/>
      <c r="N36" s="498"/>
      <c r="O36" s="498"/>
      <c r="P36" s="499"/>
    </row>
    <row r="37" spans="7:16" ht="15.75">
      <c r="G37" s="326"/>
      <c r="H37" s="496" t="s">
        <v>395</v>
      </c>
      <c r="I37" s="497"/>
      <c r="J37" s="498"/>
      <c r="K37" s="498"/>
      <c r="L37" s="498"/>
      <c r="M37" s="498"/>
      <c r="N37" s="498"/>
      <c r="O37" s="498"/>
      <c r="P37" s="499"/>
    </row>
    <row r="38" spans="7:16" ht="15.75">
      <c r="G38" s="375"/>
      <c r="H38" s="377" t="s">
        <v>396</v>
      </c>
      <c r="I38" s="378"/>
      <c r="J38" s="378"/>
      <c r="K38" s="378"/>
      <c r="L38" s="378"/>
      <c r="M38" s="378"/>
      <c r="N38" s="378"/>
      <c r="O38" s="378"/>
      <c r="P38" s="379"/>
    </row>
    <row r="39" spans="7:16" ht="15.75">
      <c r="G39" s="367" t="s">
        <v>397</v>
      </c>
      <c r="H39" s="369" t="s">
        <v>18</v>
      </c>
      <c r="I39" s="370"/>
      <c r="J39" s="370"/>
      <c r="K39" s="370"/>
      <c r="L39" s="370"/>
      <c r="M39" s="370"/>
      <c r="N39" s="370"/>
      <c r="O39" s="370"/>
      <c r="P39" s="371"/>
    </row>
    <row r="40" spans="7:16" ht="15.75">
      <c r="G40" s="368"/>
      <c r="H40" s="302" t="s">
        <v>398</v>
      </c>
      <c r="I40" s="292"/>
      <c r="J40" s="292"/>
      <c r="K40" s="292"/>
      <c r="L40" s="292"/>
      <c r="M40" s="292"/>
      <c r="N40" s="292"/>
      <c r="O40" s="292"/>
      <c r="P40" s="303"/>
    </row>
    <row r="41" spans="7:16" ht="15.75">
      <c r="G41" s="429"/>
      <c r="H41" s="347" t="s">
        <v>399</v>
      </c>
      <c r="I41" s="348"/>
      <c r="J41" s="348"/>
      <c r="K41" s="348"/>
      <c r="L41" s="348"/>
      <c r="M41" s="348"/>
      <c r="N41" s="348"/>
      <c r="O41" s="348"/>
      <c r="P41" s="349"/>
    </row>
    <row r="42" spans="7:16" ht="15.75" customHeight="1">
      <c r="G42" s="491" t="s">
        <v>100</v>
      </c>
      <c r="H42" s="492"/>
      <c r="I42" s="492"/>
      <c r="J42" s="492"/>
      <c r="K42" s="492"/>
      <c r="L42" s="492"/>
      <c r="M42" s="492"/>
      <c r="N42" s="492"/>
      <c r="O42" s="492"/>
      <c r="P42" s="492"/>
    </row>
    <row r="43" spans="7:16" ht="15.75" customHeight="1">
      <c r="G43" s="367" t="s">
        <v>2</v>
      </c>
      <c r="H43" s="327" t="s">
        <v>461</v>
      </c>
      <c r="I43" s="328"/>
      <c r="J43" s="328"/>
      <c r="K43" s="328"/>
      <c r="L43" s="328"/>
      <c r="M43" s="328"/>
      <c r="N43" s="328"/>
      <c r="O43" s="328"/>
      <c r="P43" s="329"/>
    </row>
    <row r="44" spans="7:16" ht="15.75" customHeight="1">
      <c r="G44" s="368"/>
      <c r="H44" s="302" t="s">
        <v>66</v>
      </c>
      <c r="I44" s="292"/>
      <c r="J44" s="292"/>
      <c r="K44" s="292"/>
      <c r="L44" s="292"/>
      <c r="M44" s="292"/>
      <c r="N44" s="292"/>
      <c r="O44" s="292"/>
      <c r="P44" s="303"/>
    </row>
    <row r="45" spans="7:16" ht="15.75" customHeight="1">
      <c r="G45" s="368"/>
      <c r="H45" s="302" t="s">
        <v>67</v>
      </c>
      <c r="I45" s="292"/>
      <c r="J45" s="292"/>
      <c r="K45" s="292"/>
      <c r="L45" s="292"/>
      <c r="M45" s="292"/>
      <c r="N45" s="292"/>
      <c r="O45" s="292"/>
      <c r="P45" s="303"/>
    </row>
    <row r="46" spans="7:16" ht="15.75" customHeight="1">
      <c r="G46" s="368"/>
      <c r="H46" s="302" t="s">
        <v>68</v>
      </c>
      <c r="I46" s="292"/>
      <c r="J46" s="292"/>
      <c r="K46" s="292"/>
      <c r="L46" s="292"/>
      <c r="M46" s="292"/>
      <c r="N46" s="292"/>
      <c r="O46" s="292"/>
      <c r="P46" s="303"/>
    </row>
    <row r="47" spans="7:16" ht="15.75" customHeight="1">
      <c r="G47" s="368"/>
      <c r="H47" s="302" t="s">
        <v>316</v>
      </c>
      <c r="I47" s="292"/>
      <c r="J47" s="292"/>
      <c r="K47" s="292"/>
      <c r="L47" s="292"/>
      <c r="M47" s="292"/>
      <c r="N47" s="292"/>
      <c r="O47" s="292"/>
      <c r="P47" s="303"/>
    </row>
    <row r="48" spans="7:16" ht="15.75" customHeight="1">
      <c r="G48" s="368"/>
      <c r="H48" s="302" t="s">
        <v>512</v>
      </c>
      <c r="I48" s="292"/>
      <c r="J48" s="292"/>
      <c r="K48" s="292"/>
      <c r="L48" s="292"/>
      <c r="M48" s="292"/>
      <c r="N48" s="292"/>
      <c r="O48" s="292"/>
      <c r="P48" s="303"/>
    </row>
    <row r="49" spans="7:16" ht="15.75" customHeight="1">
      <c r="G49" s="368"/>
      <c r="H49" s="302" t="s">
        <v>476</v>
      </c>
      <c r="I49" s="292"/>
      <c r="J49" s="292"/>
      <c r="K49" s="292"/>
      <c r="L49" s="292"/>
      <c r="M49" s="292"/>
      <c r="N49" s="292"/>
      <c r="O49" s="292"/>
      <c r="P49" s="303"/>
    </row>
    <row r="50" spans="7:16" ht="15.75" customHeight="1">
      <c r="G50" s="429"/>
      <c r="H50" s="322" t="s">
        <v>87</v>
      </c>
      <c r="I50" s="323"/>
      <c r="J50" s="323"/>
      <c r="K50" s="323"/>
      <c r="L50" s="323"/>
      <c r="M50" s="323"/>
      <c r="N50" s="323"/>
      <c r="O50" s="323"/>
      <c r="P50" s="324"/>
    </row>
    <row r="51" spans="7:16" ht="28.5" customHeight="1">
      <c r="G51" s="146" t="s">
        <v>400</v>
      </c>
      <c r="H51" s="339" t="s">
        <v>401</v>
      </c>
      <c r="I51" s="374"/>
      <c r="J51" s="374"/>
      <c r="K51" s="374"/>
      <c r="L51" s="374"/>
      <c r="M51" s="144"/>
      <c r="N51" s="144"/>
      <c r="O51" s="325" t="s">
        <v>105</v>
      </c>
      <c r="P51" s="149" t="s">
        <v>69</v>
      </c>
    </row>
    <row r="52" spans="7:16" ht="31.5">
      <c r="G52" s="148" t="s">
        <v>106</v>
      </c>
      <c r="H52" s="302" t="s">
        <v>402</v>
      </c>
      <c r="I52" s="292"/>
      <c r="J52" s="292"/>
      <c r="K52" s="292"/>
      <c r="L52" s="292"/>
      <c r="M52" s="140"/>
      <c r="N52" s="142"/>
      <c r="O52" s="375"/>
      <c r="P52" s="149" t="s">
        <v>107</v>
      </c>
    </row>
    <row r="53" spans="7:16" ht="15.75" customHeight="1">
      <c r="G53" s="325" t="s">
        <v>180</v>
      </c>
      <c r="H53" s="339" t="s">
        <v>463</v>
      </c>
      <c r="I53" s="374"/>
      <c r="J53" s="374"/>
      <c r="K53" s="374"/>
      <c r="L53" s="374"/>
      <c r="M53" s="145"/>
      <c r="N53" s="460" t="s">
        <v>407</v>
      </c>
      <c r="O53" s="355"/>
      <c r="P53" s="355"/>
    </row>
    <row r="54" spans="7:16" ht="15.75" customHeight="1">
      <c r="G54" s="296"/>
      <c r="H54" s="381" t="s">
        <v>464</v>
      </c>
      <c r="I54" s="292"/>
      <c r="J54" s="292"/>
      <c r="K54" s="292"/>
      <c r="L54" s="292"/>
      <c r="M54" s="141"/>
      <c r="N54" s="344"/>
      <c r="O54" s="355"/>
      <c r="P54" s="355"/>
    </row>
    <row r="55" spans="7:16" ht="15.75" customHeight="1">
      <c r="G55" s="296"/>
      <c r="H55" s="482"/>
      <c r="I55" s="483"/>
      <c r="J55" s="483"/>
      <c r="K55" s="483"/>
      <c r="L55" s="483"/>
      <c r="M55" s="484"/>
      <c r="N55" s="344"/>
      <c r="O55" s="355"/>
      <c r="P55" s="355"/>
    </row>
    <row r="56" spans="7:16" ht="63.75" customHeight="1">
      <c r="G56" s="296"/>
      <c r="H56" s="485"/>
      <c r="I56" s="486"/>
      <c r="J56" s="486"/>
      <c r="K56" s="486"/>
      <c r="L56" s="486"/>
      <c r="M56" s="484"/>
      <c r="N56" s="344"/>
      <c r="O56" s="355"/>
      <c r="P56" s="355"/>
    </row>
    <row r="57" spans="7:16" ht="12.75" customHeight="1">
      <c r="G57" s="296"/>
      <c r="H57" s="485"/>
      <c r="I57" s="486"/>
      <c r="J57" s="486"/>
      <c r="K57" s="486"/>
      <c r="L57" s="486"/>
      <c r="M57" s="484"/>
      <c r="N57" s="490" t="s">
        <v>526</v>
      </c>
      <c r="O57" s="355"/>
      <c r="P57" s="355"/>
    </row>
    <row r="58" spans="7:16" ht="12.75" customHeight="1">
      <c r="G58" s="296"/>
      <c r="H58" s="485"/>
      <c r="I58" s="486"/>
      <c r="J58" s="486"/>
      <c r="K58" s="486"/>
      <c r="L58" s="486"/>
      <c r="M58" s="484"/>
      <c r="N58" s="344"/>
      <c r="O58" s="355"/>
      <c r="P58" s="355"/>
    </row>
    <row r="59" spans="7:16" ht="21" customHeight="1">
      <c r="G59" s="296"/>
      <c r="H59" s="485"/>
      <c r="I59" s="486"/>
      <c r="J59" s="486"/>
      <c r="K59" s="486"/>
      <c r="L59" s="486"/>
      <c r="M59" s="484"/>
      <c r="N59" s="344"/>
      <c r="O59" s="355"/>
      <c r="P59" s="355"/>
    </row>
    <row r="60" spans="7:16" ht="85.5" customHeight="1">
      <c r="G60" s="299"/>
      <c r="H60" s="487"/>
      <c r="I60" s="488"/>
      <c r="J60" s="488"/>
      <c r="K60" s="488"/>
      <c r="L60" s="488"/>
      <c r="M60" s="489"/>
      <c r="N60" s="344"/>
      <c r="O60" s="355"/>
      <c r="P60" s="355"/>
    </row>
    <row r="61" spans="7:16" ht="15.75">
      <c r="G61" s="128" t="s">
        <v>75</v>
      </c>
      <c r="H61" s="341" t="s">
        <v>403</v>
      </c>
      <c r="I61" s="342"/>
      <c r="J61" s="342"/>
      <c r="K61" s="342"/>
      <c r="L61" s="342"/>
      <c r="M61" s="138"/>
      <c r="N61" s="138"/>
      <c r="O61" s="138"/>
      <c r="P61" s="139"/>
    </row>
    <row r="62" spans="7:16" ht="15.75" customHeight="1">
      <c r="G62" s="152" t="s">
        <v>13</v>
      </c>
      <c r="H62" s="341" t="s">
        <v>404</v>
      </c>
      <c r="I62" s="342"/>
      <c r="J62" s="342"/>
      <c r="K62" s="342"/>
      <c r="L62" s="342"/>
      <c r="M62" s="342"/>
      <c r="N62" s="342"/>
      <c r="O62" s="342"/>
      <c r="P62" s="460"/>
    </row>
    <row r="63" spans="7:16" ht="196.5" customHeight="1">
      <c r="G63" s="367" t="s">
        <v>217</v>
      </c>
      <c r="H63" s="341" t="s">
        <v>405</v>
      </c>
      <c r="I63" s="342"/>
      <c r="J63" s="342"/>
      <c r="K63" s="342"/>
      <c r="L63" s="342"/>
      <c r="M63" s="342"/>
      <c r="N63" s="342"/>
      <c r="O63" s="342"/>
      <c r="P63" s="460"/>
    </row>
    <row r="64" spans="7:16" ht="22.5" customHeight="1">
      <c r="G64" s="481"/>
      <c r="H64" s="341" t="s">
        <v>406</v>
      </c>
      <c r="I64" s="342"/>
      <c r="J64" s="342"/>
      <c r="K64" s="342"/>
      <c r="L64" s="342"/>
      <c r="M64" s="342"/>
      <c r="N64" s="342"/>
      <c r="O64" s="342"/>
      <c r="P64" s="460"/>
    </row>
    <row r="65" ht="15.75" customHeight="1"/>
    <row r="66" ht="15.75" customHeight="1"/>
    <row r="67" ht="15.75" customHeight="1"/>
    <row r="68" ht="15.75" customHeight="1"/>
    <row r="69" ht="15.75" customHeight="1"/>
    <row r="70" ht="51" customHeight="1"/>
    <row r="71" ht="47.25" customHeight="1"/>
    <row r="72" ht="63" customHeight="1"/>
    <row r="88" ht="15.75" customHeight="1"/>
    <row r="100" ht="15.75" customHeight="1"/>
    <row r="110" ht="390.75" customHeight="1"/>
    <row r="114" ht="15.75" customHeight="1"/>
    <row r="115" ht="15.75" customHeight="1"/>
    <row r="116" ht="15.75" customHeight="1"/>
    <row r="118" ht="15.75" customHeight="1"/>
    <row r="119" ht="31.5" customHeight="1"/>
    <row r="120" ht="15.75" customHeight="1"/>
    <row r="121" ht="15.75" customHeight="1"/>
    <row r="122" ht="38.2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21" customHeight="1"/>
    <row r="159" ht="85.5" customHeight="1"/>
    <row r="160" ht="84.75" customHeight="1"/>
    <row r="161" ht="192.75" customHeight="1"/>
    <row r="162" ht="18.75" customHeight="1"/>
    <row r="163" ht="15.75" customHeight="1"/>
  </sheetData>
  <mergeCells count="53">
    <mergeCell ref="G25:P26"/>
    <mergeCell ref="G1:L1"/>
    <mergeCell ref="N3:N4"/>
    <mergeCell ref="G5:P5"/>
    <mergeCell ref="G6:P6"/>
    <mergeCell ref="G3:G4"/>
    <mergeCell ref="H3:H4"/>
    <mergeCell ref="I3:I4"/>
    <mergeCell ref="J3:J4"/>
    <mergeCell ref="K3:K4"/>
    <mergeCell ref="O3:O4"/>
    <mergeCell ref="P3:P4"/>
    <mergeCell ref="G23:P23"/>
    <mergeCell ref="H28:P28"/>
    <mergeCell ref="H30:P30"/>
    <mergeCell ref="H32:P32"/>
    <mergeCell ref="G33:G34"/>
    <mergeCell ref="H33:P33"/>
    <mergeCell ref="H34:P34"/>
    <mergeCell ref="H31:P31"/>
    <mergeCell ref="G35:G38"/>
    <mergeCell ref="H35:P35"/>
    <mergeCell ref="H36:P36"/>
    <mergeCell ref="H37:P37"/>
    <mergeCell ref="H38:P38"/>
    <mergeCell ref="H41:P41"/>
    <mergeCell ref="G42:P42"/>
    <mergeCell ref="G43:G50"/>
    <mergeCell ref="H43:P43"/>
    <mergeCell ref="H44:P44"/>
    <mergeCell ref="H46:P46"/>
    <mergeCell ref="H47:P47"/>
    <mergeCell ref="H48:P48"/>
    <mergeCell ref="H49:P49"/>
    <mergeCell ref="H50:P50"/>
    <mergeCell ref="H45:P45"/>
    <mergeCell ref="G39:G41"/>
    <mergeCell ref="H39:P39"/>
    <mergeCell ref="H40:P40"/>
    <mergeCell ref="H51:L51"/>
    <mergeCell ref="H52:L52"/>
    <mergeCell ref="O51:O52"/>
    <mergeCell ref="H62:P62"/>
    <mergeCell ref="G63:G64"/>
    <mergeCell ref="H63:P63"/>
    <mergeCell ref="H64:P64"/>
    <mergeCell ref="G53:G60"/>
    <mergeCell ref="H54:L54"/>
    <mergeCell ref="H55:M60"/>
    <mergeCell ref="H61:L61"/>
    <mergeCell ref="H53:L53"/>
    <mergeCell ref="N53:P56"/>
    <mergeCell ref="N57:P60"/>
  </mergeCells>
  <printOptions horizontalCentered="1"/>
  <pageMargins left="0.39000000000000007" right="0.39000000000000007" top="1.71" bottom="0.98" header="0.51" footer="0.51"/>
  <pageSetup paperSize="9" scale="53" fitToHeight="0" orientation="portrait" r:id="rId1"/>
  <headerFooter>
    <oddHeader>&amp;L&amp;"Garamond Premr Pro,Regular"&amp;20&amp;K001892PRICE LIST 2018&amp;16
&amp;20Navigare Yachting - Sweden&amp;16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3"/>
  <sheetViews>
    <sheetView zoomScaleSheetLayoutView="90" workbookViewId="0">
      <selection activeCell="A11" sqref="A11"/>
    </sheetView>
  </sheetViews>
  <sheetFormatPr defaultColWidth="11" defaultRowHeight="12.75"/>
  <cols>
    <col min="1" max="1" width="26.625" style="7" customWidth="1"/>
    <col min="2" max="2" width="13.125" style="7" customWidth="1"/>
    <col min="3" max="3" width="6.625" style="7" customWidth="1"/>
    <col min="4" max="4" width="20" style="7" bestFit="1" customWidth="1"/>
    <col min="5" max="5" width="8.5" style="7" customWidth="1"/>
    <col min="6" max="11" width="12.5" style="7" customWidth="1"/>
    <col min="12" max="12" width="2.875" style="7" customWidth="1"/>
    <col min="13" max="13" width="1.125" style="7" hidden="1" customWidth="1"/>
    <col min="14" max="16384" width="11" style="7"/>
  </cols>
  <sheetData>
    <row r="1" spans="1:12" ht="21">
      <c r="A1" s="9" t="s">
        <v>108</v>
      </c>
      <c r="B1" s="10"/>
      <c r="C1" s="10"/>
      <c r="D1" s="10"/>
      <c r="E1" s="10"/>
      <c r="F1" s="10"/>
      <c r="G1" s="10"/>
      <c r="H1" s="10"/>
      <c r="I1" s="10"/>
      <c r="J1" s="10"/>
      <c r="K1" s="10"/>
      <c r="L1" s="11"/>
    </row>
    <row r="2" spans="1:12" ht="15.75">
      <c r="A2" s="12" t="s">
        <v>109</v>
      </c>
      <c r="B2" s="43"/>
      <c r="C2" s="43"/>
      <c r="D2" s="12"/>
      <c r="E2" s="12"/>
      <c r="F2" s="12"/>
      <c r="G2" s="12"/>
      <c r="H2" s="12"/>
      <c r="I2" s="12"/>
      <c r="J2" s="12"/>
      <c r="K2" s="12"/>
      <c r="L2" s="12"/>
    </row>
    <row r="3" spans="1:12" ht="15.75" customHeight="1">
      <c r="A3" s="468" t="s">
        <v>3</v>
      </c>
      <c r="B3" s="470" t="s">
        <v>98</v>
      </c>
      <c r="C3" s="393" t="s">
        <v>146</v>
      </c>
      <c r="D3" s="446" t="s">
        <v>11</v>
      </c>
      <c r="E3" s="393" t="s">
        <v>151</v>
      </c>
      <c r="F3" s="446" t="s">
        <v>259</v>
      </c>
      <c r="G3" s="446" t="s">
        <v>260</v>
      </c>
      <c r="H3" s="446" t="s">
        <v>308</v>
      </c>
      <c r="I3" s="473" t="s">
        <v>262</v>
      </c>
      <c r="J3" s="473" t="s">
        <v>309</v>
      </c>
      <c r="K3" s="522" t="s">
        <v>99</v>
      </c>
      <c r="L3" s="523"/>
    </row>
    <row r="4" spans="1:12" ht="15.75" customHeight="1">
      <c r="A4" s="469"/>
      <c r="B4" s="471"/>
      <c r="C4" s="395"/>
      <c r="D4" s="472"/>
      <c r="E4" s="395"/>
      <c r="F4" s="528"/>
      <c r="G4" s="447"/>
      <c r="H4" s="447"/>
      <c r="I4" s="474"/>
      <c r="J4" s="474"/>
      <c r="K4" s="524"/>
      <c r="L4" s="525"/>
    </row>
    <row r="5" spans="1:12" ht="15.75" customHeight="1">
      <c r="A5" s="13" t="s">
        <v>12</v>
      </c>
      <c r="B5" s="46"/>
      <c r="C5" s="46"/>
      <c r="D5" s="47"/>
      <c r="E5" s="55"/>
      <c r="F5" s="56"/>
      <c r="G5" s="75"/>
      <c r="H5" s="75"/>
      <c r="I5" s="75"/>
      <c r="J5" s="75"/>
      <c r="K5" s="48"/>
      <c r="L5" s="49"/>
    </row>
    <row r="6" spans="1:12" ht="15.75" customHeight="1">
      <c r="A6" s="15" t="s">
        <v>110</v>
      </c>
      <c r="B6" s="76">
        <v>2012</v>
      </c>
      <c r="C6" s="81" t="s">
        <v>153</v>
      </c>
      <c r="D6" s="82" t="s">
        <v>169</v>
      </c>
      <c r="E6" s="77">
        <v>10</v>
      </c>
      <c r="F6" s="16">
        <v>9660</v>
      </c>
      <c r="G6" s="17">
        <v>8050</v>
      </c>
      <c r="H6" s="16">
        <v>6510</v>
      </c>
      <c r="I6" s="17">
        <v>4130</v>
      </c>
      <c r="J6" s="16">
        <v>6510</v>
      </c>
      <c r="K6" s="526">
        <v>3200</v>
      </c>
      <c r="L6" s="527"/>
    </row>
    <row r="7" spans="1:12" ht="15.75" customHeight="1">
      <c r="A7" s="15" t="s">
        <v>111</v>
      </c>
      <c r="B7" s="76">
        <v>2012</v>
      </c>
      <c r="C7" s="81" t="s">
        <v>103</v>
      </c>
      <c r="D7" s="82" t="s">
        <v>149</v>
      </c>
      <c r="E7" s="77">
        <v>12</v>
      </c>
      <c r="F7" s="16">
        <v>7770</v>
      </c>
      <c r="G7" s="17">
        <v>6790</v>
      </c>
      <c r="H7" s="16">
        <v>5460</v>
      </c>
      <c r="I7" s="17">
        <v>3360</v>
      </c>
      <c r="J7" s="16">
        <v>5460</v>
      </c>
      <c r="K7" s="526">
        <v>3000</v>
      </c>
      <c r="L7" s="527"/>
    </row>
    <row r="8" spans="1:12" ht="19.5" customHeight="1">
      <c r="A8" s="397" t="s">
        <v>112</v>
      </c>
      <c r="B8" s="397"/>
      <c r="C8" s="397"/>
      <c r="D8" s="397"/>
      <c r="E8" s="397"/>
      <c r="F8" s="397"/>
      <c r="G8" s="397"/>
      <c r="H8" s="397"/>
      <c r="I8" s="12"/>
      <c r="J8" s="12"/>
      <c r="K8" s="12"/>
      <c r="L8" s="12"/>
    </row>
    <row r="9" spans="1:12" ht="19.5" customHeight="1">
      <c r="A9" s="310" t="s">
        <v>523</v>
      </c>
      <c r="B9" s="311"/>
      <c r="C9" s="311"/>
      <c r="D9" s="311"/>
      <c r="E9" s="311"/>
      <c r="F9" s="311"/>
      <c r="G9" s="311"/>
      <c r="H9" s="312"/>
      <c r="I9" s="312"/>
      <c r="J9" s="313"/>
      <c r="K9" s="314"/>
      <c r="L9" s="12"/>
    </row>
    <row r="10" spans="1:12" ht="19.5" customHeight="1">
      <c r="A10" s="315"/>
      <c r="B10" s="316"/>
      <c r="C10" s="316"/>
      <c r="D10" s="316"/>
      <c r="E10" s="316"/>
      <c r="F10" s="316"/>
      <c r="G10" s="316"/>
      <c r="H10" s="316"/>
      <c r="I10" s="316"/>
      <c r="J10" s="316"/>
      <c r="K10" s="317"/>
      <c r="L10" s="12"/>
    </row>
    <row r="11" spans="1:12" ht="19.5" customHeight="1">
      <c r="A11" s="12"/>
      <c r="B11" s="12"/>
      <c r="C11" s="12"/>
      <c r="D11" s="12"/>
      <c r="E11" s="12"/>
      <c r="F11" s="12"/>
      <c r="G11" s="12"/>
      <c r="H11" s="12"/>
      <c r="I11" s="12"/>
      <c r="J11" s="12"/>
      <c r="K11" s="12"/>
      <c r="L11" s="12"/>
    </row>
    <row r="12" spans="1:12" ht="20.25" customHeight="1">
      <c r="A12" s="23" t="s">
        <v>8</v>
      </c>
      <c r="B12" s="419" t="s">
        <v>211</v>
      </c>
      <c r="C12" s="420"/>
      <c r="D12" s="420"/>
      <c r="E12" s="420"/>
      <c r="F12" s="420"/>
      <c r="G12" s="420"/>
      <c r="H12" s="420"/>
      <c r="I12" s="420"/>
      <c r="J12" s="420"/>
      <c r="K12" s="420"/>
      <c r="L12" s="421"/>
    </row>
    <row r="13" spans="1:12" s="1" customFormat="1" ht="33" customHeight="1">
      <c r="A13" s="78" t="s">
        <v>9</v>
      </c>
      <c r="B13" s="516" t="s">
        <v>113</v>
      </c>
      <c r="C13" s="517"/>
      <c r="D13" s="517"/>
      <c r="E13" s="517"/>
      <c r="F13" s="517"/>
      <c r="G13" s="517"/>
      <c r="H13" s="517"/>
      <c r="I13" s="517"/>
      <c r="J13" s="517"/>
      <c r="K13" s="517"/>
      <c r="L13" s="518"/>
    </row>
    <row r="14" spans="1:12" s="1" customFormat="1" ht="21.75" customHeight="1">
      <c r="A14" s="24" t="s">
        <v>114</v>
      </c>
      <c r="B14" s="397" t="s">
        <v>6</v>
      </c>
      <c r="C14" s="397"/>
      <c r="D14" s="397"/>
      <c r="E14" s="397"/>
      <c r="F14" s="397"/>
      <c r="G14" s="397"/>
      <c r="H14" s="397"/>
      <c r="I14" s="397"/>
      <c r="J14" s="397"/>
      <c r="K14" s="397"/>
      <c r="L14" s="397"/>
    </row>
    <row r="15" spans="1:12" s="1" customFormat="1" ht="16.5" customHeight="1">
      <c r="A15" s="25" t="s">
        <v>15</v>
      </c>
      <c r="B15" s="339" t="s">
        <v>115</v>
      </c>
      <c r="C15" s="374"/>
      <c r="D15" s="374"/>
      <c r="E15" s="374"/>
      <c r="F15" s="374"/>
      <c r="G15" s="374"/>
      <c r="H15" s="374"/>
      <c r="I15" s="374"/>
      <c r="J15" s="374"/>
      <c r="K15" s="374"/>
      <c r="L15" s="340"/>
    </row>
    <row r="16" spans="1:12" s="1" customFormat="1" ht="16.5" customHeight="1">
      <c r="A16" s="26" t="s">
        <v>104</v>
      </c>
      <c r="B16" s="347" t="s">
        <v>116</v>
      </c>
      <c r="C16" s="348"/>
      <c r="D16" s="348"/>
      <c r="E16" s="348"/>
      <c r="F16" s="348"/>
      <c r="G16" s="348"/>
      <c r="H16" s="348"/>
      <c r="I16" s="348"/>
      <c r="J16" s="348"/>
      <c r="K16" s="348"/>
      <c r="L16" s="349"/>
    </row>
    <row r="17" spans="1:19" s="1" customFormat="1" ht="16.5" customHeight="1">
      <c r="A17" s="26" t="s">
        <v>491</v>
      </c>
      <c r="B17" s="322" t="s">
        <v>495</v>
      </c>
      <c r="C17" s="348"/>
      <c r="D17" s="348"/>
      <c r="E17" s="348"/>
      <c r="F17" s="348"/>
      <c r="G17" s="348"/>
      <c r="H17" s="348"/>
      <c r="I17" s="348"/>
      <c r="J17" s="348"/>
      <c r="K17" s="348"/>
      <c r="L17" s="349"/>
    </row>
    <row r="18" spans="1:19" s="1" customFormat="1" ht="16.5" customHeight="1">
      <c r="A18" s="514" t="s">
        <v>117</v>
      </c>
      <c r="B18" s="339" t="s">
        <v>118</v>
      </c>
      <c r="C18" s="374"/>
      <c r="D18" s="374"/>
      <c r="E18" s="374"/>
      <c r="F18" s="374"/>
      <c r="G18" s="374"/>
      <c r="H18" s="374"/>
      <c r="I18" s="374"/>
      <c r="J18" s="374"/>
      <c r="K18" s="374"/>
      <c r="L18" s="340"/>
    </row>
    <row r="19" spans="1:19" s="1" customFormat="1" ht="36" customHeight="1">
      <c r="A19" s="515"/>
      <c r="B19" s="347"/>
      <c r="C19" s="348"/>
      <c r="D19" s="348"/>
      <c r="E19" s="348"/>
      <c r="F19" s="348"/>
      <c r="G19" s="348"/>
      <c r="H19" s="348"/>
      <c r="I19" s="348"/>
      <c r="J19" s="348"/>
      <c r="K19" s="348"/>
      <c r="L19" s="349"/>
    </row>
    <row r="20" spans="1:19" s="1" customFormat="1" ht="18" customHeight="1">
      <c r="A20" s="514" t="s">
        <v>119</v>
      </c>
      <c r="B20" s="339" t="s">
        <v>120</v>
      </c>
      <c r="C20" s="374"/>
      <c r="D20" s="374"/>
      <c r="E20" s="374"/>
      <c r="F20" s="374"/>
      <c r="G20" s="374"/>
      <c r="H20" s="374"/>
      <c r="I20" s="374"/>
      <c r="J20" s="374"/>
      <c r="K20" s="374"/>
      <c r="L20" s="340"/>
    </row>
    <row r="21" spans="1:19" s="1" customFormat="1" ht="18" customHeight="1">
      <c r="A21" s="515"/>
      <c r="B21" s="302"/>
      <c r="C21" s="292"/>
      <c r="D21" s="292"/>
      <c r="E21" s="292"/>
      <c r="F21" s="292"/>
      <c r="G21" s="292"/>
      <c r="H21" s="292"/>
      <c r="I21" s="292"/>
      <c r="J21" s="292"/>
      <c r="K21" s="292"/>
      <c r="L21" s="303"/>
    </row>
    <row r="22" spans="1:19" s="1" customFormat="1" ht="18" customHeight="1">
      <c r="A22" s="511" t="s">
        <v>306</v>
      </c>
      <c r="B22" s="339" t="s">
        <v>307</v>
      </c>
      <c r="C22" s="374"/>
      <c r="D22" s="374"/>
      <c r="E22" s="374"/>
      <c r="F22" s="374"/>
      <c r="G22" s="374"/>
      <c r="H22" s="374"/>
      <c r="I22" s="374"/>
      <c r="J22" s="374"/>
      <c r="K22" s="374"/>
      <c r="L22" s="340"/>
    </row>
    <row r="23" spans="1:19" s="1" customFormat="1" ht="16.5" customHeight="1">
      <c r="A23" s="512"/>
      <c r="B23" s="302" t="s">
        <v>165</v>
      </c>
      <c r="C23" s="292"/>
      <c r="D23" s="292"/>
      <c r="E23" s="292"/>
      <c r="F23" s="292"/>
      <c r="G23" s="292"/>
      <c r="H23" s="292"/>
      <c r="I23" s="292"/>
      <c r="J23" s="292"/>
      <c r="K23" s="292"/>
      <c r="L23" s="303"/>
      <c r="S23" s="137"/>
    </row>
    <row r="24" spans="1:19" s="1" customFormat="1" ht="16.5" customHeight="1">
      <c r="A24" s="512"/>
      <c r="B24" s="302" t="s">
        <v>166</v>
      </c>
      <c r="C24" s="292"/>
      <c r="D24" s="292"/>
      <c r="E24" s="292"/>
      <c r="F24" s="292"/>
      <c r="G24" s="292"/>
      <c r="H24" s="292"/>
      <c r="I24" s="292"/>
      <c r="J24" s="292"/>
      <c r="K24" s="292"/>
      <c r="L24" s="303"/>
    </row>
    <row r="25" spans="1:19" s="1" customFormat="1" ht="16.5" customHeight="1">
      <c r="A25" s="512"/>
      <c r="B25" s="302" t="s">
        <v>167</v>
      </c>
      <c r="C25" s="292"/>
      <c r="D25" s="292"/>
      <c r="E25" s="292"/>
      <c r="F25" s="292"/>
      <c r="G25" s="292"/>
      <c r="H25" s="292"/>
      <c r="I25" s="292"/>
      <c r="J25" s="292"/>
      <c r="K25" s="292"/>
      <c r="L25" s="303"/>
    </row>
    <row r="26" spans="1:19" s="1" customFormat="1" ht="20.25" customHeight="1">
      <c r="A26" s="513"/>
      <c r="B26" s="347" t="s">
        <v>168</v>
      </c>
      <c r="C26" s="348"/>
      <c r="D26" s="348"/>
      <c r="E26" s="348"/>
      <c r="F26" s="348"/>
      <c r="G26" s="348"/>
      <c r="H26" s="348"/>
      <c r="I26" s="348"/>
      <c r="J26" s="348"/>
      <c r="K26" s="348"/>
      <c r="L26" s="349"/>
    </row>
    <row r="27" spans="1:19" s="1" customFormat="1" ht="24" customHeight="1">
      <c r="A27" s="74" t="s">
        <v>122</v>
      </c>
      <c r="B27" s="519" t="s">
        <v>521</v>
      </c>
      <c r="C27" s="520"/>
      <c r="D27" s="520"/>
      <c r="E27" s="520"/>
      <c r="F27" s="520"/>
      <c r="G27" s="520"/>
      <c r="H27" s="520"/>
      <c r="I27" s="520"/>
      <c r="J27" s="520"/>
      <c r="K27" s="520"/>
      <c r="L27" s="521"/>
    </row>
    <row r="28" spans="1:19" s="1" customFormat="1" ht="21">
      <c r="A28" s="79" t="s">
        <v>100</v>
      </c>
      <c r="B28" s="28"/>
      <c r="C28" s="28"/>
      <c r="D28" s="28"/>
      <c r="E28" s="28"/>
      <c r="F28" s="28"/>
      <c r="G28" s="28"/>
      <c r="H28" s="28"/>
      <c r="I28" s="80"/>
      <c r="J28" s="80"/>
      <c r="K28" s="80"/>
      <c r="L28" s="28"/>
    </row>
    <row r="29" spans="1:19" s="1" customFormat="1" ht="15" customHeight="1">
      <c r="A29" s="325" t="s">
        <v>2</v>
      </c>
      <c r="B29" s="327" t="s">
        <v>461</v>
      </c>
      <c r="C29" s="328"/>
      <c r="D29" s="328"/>
      <c r="E29" s="328"/>
      <c r="F29" s="328"/>
      <c r="G29" s="328"/>
      <c r="H29" s="328"/>
      <c r="I29" s="328"/>
      <c r="J29" s="328"/>
      <c r="K29" s="328"/>
      <c r="L29" s="329"/>
    </row>
    <row r="30" spans="1:19" s="1" customFormat="1" ht="16.5" customHeight="1">
      <c r="A30" s="326"/>
      <c r="B30" s="302" t="s">
        <v>66</v>
      </c>
      <c r="C30" s="292"/>
      <c r="D30" s="292"/>
      <c r="E30" s="292"/>
      <c r="F30" s="292"/>
      <c r="G30" s="292"/>
      <c r="H30" s="292"/>
      <c r="I30" s="292"/>
      <c r="J30" s="292"/>
      <c r="K30" s="292"/>
      <c r="L30" s="303"/>
    </row>
    <row r="31" spans="1:19" s="1" customFormat="1" ht="16.5" customHeight="1">
      <c r="A31" s="368"/>
      <c r="B31" s="302" t="s">
        <v>67</v>
      </c>
      <c r="C31" s="292"/>
      <c r="D31" s="292"/>
      <c r="E31" s="292"/>
      <c r="F31" s="292"/>
      <c r="G31" s="292"/>
      <c r="H31" s="292"/>
      <c r="I31" s="292"/>
      <c r="J31" s="292"/>
      <c r="K31" s="292"/>
      <c r="L31" s="303"/>
    </row>
    <row r="32" spans="1:19" s="1" customFormat="1" ht="16.5" customHeight="1">
      <c r="A32" s="368"/>
      <c r="B32" s="302" t="s">
        <v>315</v>
      </c>
      <c r="C32" s="292"/>
      <c r="D32" s="292"/>
      <c r="E32" s="292"/>
      <c r="F32" s="292"/>
      <c r="G32" s="292"/>
      <c r="H32" s="292"/>
      <c r="I32" s="292"/>
      <c r="J32" s="292"/>
      <c r="K32" s="292"/>
      <c r="L32" s="303"/>
    </row>
    <row r="33" spans="1:12" s="1" customFormat="1" ht="16.5" customHeight="1">
      <c r="A33" s="368"/>
      <c r="B33" s="302" t="s">
        <v>316</v>
      </c>
      <c r="C33" s="292"/>
      <c r="D33" s="292"/>
      <c r="E33" s="292"/>
      <c r="F33" s="292"/>
      <c r="G33" s="292"/>
      <c r="H33" s="292"/>
      <c r="I33" s="292"/>
      <c r="J33" s="292"/>
      <c r="K33" s="292"/>
      <c r="L33" s="303"/>
    </row>
    <row r="34" spans="1:12" s="1" customFormat="1" ht="16.5" customHeight="1">
      <c r="A34" s="368"/>
      <c r="B34" s="302" t="s">
        <v>512</v>
      </c>
      <c r="C34" s="292"/>
      <c r="D34" s="292"/>
      <c r="E34" s="292"/>
      <c r="F34" s="292"/>
      <c r="G34" s="292"/>
      <c r="H34" s="292"/>
      <c r="I34" s="292"/>
      <c r="J34" s="292"/>
      <c r="K34" s="292"/>
      <c r="L34" s="303"/>
    </row>
    <row r="35" spans="1:12" s="1" customFormat="1" ht="16.5" customHeight="1">
      <c r="A35" s="368"/>
      <c r="B35" s="302" t="s">
        <v>216</v>
      </c>
      <c r="C35" s="292"/>
      <c r="D35" s="292"/>
      <c r="E35" s="292"/>
      <c r="F35" s="292"/>
      <c r="G35" s="292"/>
      <c r="H35" s="292"/>
      <c r="I35" s="292"/>
      <c r="J35" s="292"/>
      <c r="K35" s="292"/>
      <c r="L35" s="303"/>
    </row>
    <row r="36" spans="1:12" s="1" customFormat="1" ht="16.5" customHeight="1">
      <c r="A36" s="368"/>
      <c r="B36" s="302" t="s">
        <v>215</v>
      </c>
      <c r="C36" s="292"/>
      <c r="D36" s="292"/>
      <c r="E36" s="292"/>
      <c r="F36" s="292"/>
      <c r="G36" s="292"/>
      <c r="H36" s="99"/>
      <c r="I36" s="99"/>
      <c r="J36" s="99"/>
      <c r="K36" s="99"/>
      <c r="L36" s="100"/>
    </row>
    <row r="37" spans="1:12" s="1" customFormat="1" ht="16.5" customHeight="1">
      <c r="A37" s="368"/>
      <c r="B37" s="381" t="s">
        <v>87</v>
      </c>
      <c r="C37" s="382"/>
      <c r="D37" s="382"/>
      <c r="E37" s="382"/>
      <c r="F37" s="382"/>
      <c r="G37" s="382"/>
      <c r="H37" s="99"/>
      <c r="I37" s="99"/>
      <c r="J37" s="99"/>
      <c r="K37" s="99"/>
      <c r="L37" s="100"/>
    </row>
    <row r="38" spans="1:12" s="1" customFormat="1" ht="16.5" customHeight="1">
      <c r="A38" s="37" t="s">
        <v>124</v>
      </c>
      <c r="B38" s="339" t="s">
        <v>125</v>
      </c>
      <c r="C38" s="374"/>
      <c r="D38" s="374"/>
      <c r="E38" s="374"/>
      <c r="F38" s="340"/>
      <c r="G38" s="39"/>
      <c r="H38" s="339" t="s">
        <v>126</v>
      </c>
      <c r="I38" s="374"/>
      <c r="J38" s="374"/>
      <c r="K38" s="374"/>
      <c r="L38" s="340"/>
    </row>
    <row r="39" spans="1:12" s="1" customFormat="1" ht="16.5" customHeight="1">
      <c r="A39" s="74" t="s">
        <v>106</v>
      </c>
      <c r="B39" s="347" t="s">
        <v>125</v>
      </c>
      <c r="C39" s="348"/>
      <c r="D39" s="348"/>
      <c r="E39" s="348"/>
      <c r="F39" s="349"/>
      <c r="G39" s="40"/>
      <c r="H39" s="347" t="s">
        <v>127</v>
      </c>
      <c r="I39" s="348"/>
      <c r="J39" s="348"/>
      <c r="K39" s="348"/>
      <c r="L39" s="349"/>
    </row>
    <row r="40" spans="1:12" s="1" customFormat="1" ht="16.5" customHeight="1">
      <c r="A40" s="367" t="s">
        <v>105</v>
      </c>
      <c r="B40" s="339" t="s">
        <v>69</v>
      </c>
      <c r="C40" s="374"/>
      <c r="D40" s="374"/>
      <c r="E40" s="374"/>
      <c r="F40" s="374"/>
      <c r="G40" s="374"/>
      <c r="H40" s="374"/>
      <c r="I40" s="374"/>
      <c r="J40" s="374"/>
      <c r="K40" s="374"/>
      <c r="L40" s="340"/>
    </row>
    <row r="41" spans="1:12" s="1" customFormat="1" ht="16.5" customHeight="1">
      <c r="A41" s="429"/>
      <c r="B41" s="347" t="s">
        <v>107</v>
      </c>
      <c r="C41" s="348"/>
      <c r="D41" s="348"/>
      <c r="E41" s="348"/>
      <c r="F41" s="348"/>
      <c r="G41" s="348"/>
      <c r="H41" s="348"/>
      <c r="I41" s="348"/>
      <c r="J41" s="348"/>
      <c r="K41" s="348"/>
      <c r="L41" s="349"/>
    </row>
    <row r="42" spans="1:12" ht="16.5" customHeight="1">
      <c r="A42" s="29" t="s">
        <v>102</v>
      </c>
      <c r="B42" s="341" t="s">
        <v>128</v>
      </c>
      <c r="C42" s="342"/>
      <c r="D42" s="342"/>
      <c r="E42" s="342"/>
      <c r="F42" s="342"/>
      <c r="G42" s="342"/>
      <c r="H42" s="342"/>
      <c r="I42" s="342"/>
      <c r="J42" s="342"/>
      <c r="K42" s="342"/>
      <c r="L42" s="460"/>
    </row>
    <row r="43" spans="1:12" ht="16.5" customHeight="1">
      <c r="A43" s="29" t="s">
        <v>75</v>
      </c>
      <c r="B43" s="341" t="s">
        <v>129</v>
      </c>
      <c r="C43" s="342"/>
      <c r="D43" s="342"/>
      <c r="E43" s="342"/>
      <c r="F43" s="342"/>
      <c r="G43" s="342"/>
      <c r="H43" s="342"/>
      <c r="I43" s="342"/>
      <c r="J43" s="342"/>
      <c r="K43" s="342"/>
      <c r="L43" s="460"/>
    </row>
  </sheetData>
  <mergeCells count="51">
    <mergeCell ref="B43:L43"/>
    <mergeCell ref="A29:A37"/>
    <mergeCell ref="B29:L29"/>
    <mergeCell ref="B30:L30"/>
    <mergeCell ref="B31:L31"/>
    <mergeCell ref="B38:F38"/>
    <mergeCell ref="H38:L38"/>
    <mergeCell ref="A40:A41"/>
    <mergeCell ref="B40:L40"/>
    <mergeCell ref="B41:L41"/>
    <mergeCell ref="B42:L42"/>
    <mergeCell ref="B33:L33"/>
    <mergeCell ref="B32:L32"/>
    <mergeCell ref="B37:G37"/>
    <mergeCell ref="B36:G36"/>
    <mergeCell ref="B39:F39"/>
    <mergeCell ref="K3:L4"/>
    <mergeCell ref="K6:L6"/>
    <mergeCell ref="K7:L7"/>
    <mergeCell ref="A3:A4"/>
    <mergeCell ref="B3:B4"/>
    <mergeCell ref="D3:D4"/>
    <mergeCell ref="H3:H4"/>
    <mergeCell ref="F3:F4"/>
    <mergeCell ref="G3:G4"/>
    <mergeCell ref="I3:I4"/>
    <mergeCell ref="J3:J4"/>
    <mergeCell ref="C3:C4"/>
    <mergeCell ref="E3:E4"/>
    <mergeCell ref="H39:L39"/>
    <mergeCell ref="B23:L23"/>
    <mergeCell ref="B24:L24"/>
    <mergeCell ref="B25:L25"/>
    <mergeCell ref="B26:L26"/>
    <mergeCell ref="B27:L27"/>
    <mergeCell ref="B34:L34"/>
    <mergeCell ref="B35:L35"/>
    <mergeCell ref="A9:K10"/>
    <mergeCell ref="A22:A26"/>
    <mergeCell ref="B22:L22"/>
    <mergeCell ref="A8:H8"/>
    <mergeCell ref="A20:A21"/>
    <mergeCell ref="B12:L12"/>
    <mergeCell ref="B17:L17"/>
    <mergeCell ref="A18:A19"/>
    <mergeCell ref="B18:L19"/>
    <mergeCell ref="B20:L21"/>
    <mergeCell ref="B13:L13"/>
    <mergeCell ref="B14:L14"/>
    <mergeCell ref="B15:L15"/>
    <mergeCell ref="B16:L16"/>
  </mergeCells>
  <printOptions horizontalCentered="1"/>
  <pageMargins left="0.39000000000000007" right="1.4022916666666667" top="1.71" bottom="0.98" header="0.51" footer="0.51"/>
  <pageSetup paperSize="9" scale="47" fitToHeight="0" orientation="portrait" r:id="rId1"/>
  <headerFooter>
    <oddHeader>&amp;L&amp;"Garamond Premr Pro,Regular"&amp;20&amp;K001892PRICE LIST 2018&amp;16
&amp;20Navigare Yachting - Thailand&amp;16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rowBreaks count="1" manualBreakCount="1">
    <brk id="45"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0"/>
  <sheetViews>
    <sheetView zoomScaleSheetLayoutView="90" workbookViewId="0">
      <selection activeCell="A11" sqref="A11"/>
    </sheetView>
  </sheetViews>
  <sheetFormatPr defaultColWidth="11" defaultRowHeight="12.75"/>
  <cols>
    <col min="1" max="1" width="23.625" style="7" customWidth="1"/>
    <col min="2" max="3" width="11" style="7"/>
    <col min="4" max="4" width="12.125" style="7" bestFit="1" customWidth="1"/>
    <col min="5" max="16384" width="11" style="7"/>
  </cols>
  <sheetData>
    <row r="1" spans="1:11" ht="21">
      <c r="A1" s="9" t="s">
        <v>207</v>
      </c>
      <c r="B1" s="10"/>
      <c r="C1" s="10"/>
      <c r="D1" s="10"/>
      <c r="E1" s="10"/>
      <c r="F1" s="10"/>
      <c r="G1" s="10"/>
      <c r="H1" s="10"/>
      <c r="I1" s="10"/>
      <c r="J1" s="10"/>
      <c r="K1" s="10"/>
    </row>
    <row r="2" spans="1:11" ht="15.75">
      <c r="A2" s="12" t="s">
        <v>222</v>
      </c>
      <c r="B2" s="43"/>
      <c r="C2" s="43"/>
      <c r="D2" s="12"/>
      <c r="E2" s="12"/>
      <c r="F2" s="12"/>
      <c r="G2" s="12"/>
      <c r="H2" s="12"/>
      <c r="I2" s="12"/>
      <c r="J2" s="12"/>
      <c r="K2" s="12"/>
    </row>
    <row r="3" spans="1:11">
      <c r="A3" s="536" t="s">
        <v>3</v>
      </c>
      <c r="B3" s="470" t="s">
        <v>98</v>
      </c>
      <c r="C3" s="393" t="s">
        <v>146</v>
      </c>
      <c r="D3" s="470" t="s">
        <v>11</v>
      </c>
      <c r="E3" s="393" t="s">
        <v>151</v>
      </c>
      <c r="F3" s="470" t="s">
        <v>259</v>
      </c>
      <c r="G3" s="470" t="s">
        <v>260</v>
      </c>
      <c r="H3" s="470" t="s">
        <v>261</v>
      </c>
      <c r="I3" s="470" t="s">
        <v>262</v>
      </c>
      <c r="J3" s="470" t="s">
        <v>263</v>
      </c>
      <c r="K3" s="531" t="s">
        <v>99</v>
      </c>
    </row>
    <row r="4" spans="1:11" ht="20.25" customHeight="1">
      <c r="A4" s="536"/>
      <c r="B4" s="471"/>
      <c r="C4" s="395"/>
      <c r="D4" s="537"/>
      <c r="E4" s="395"/>
      <c r="F4" s="535"/>
      <c r="G4" s="470"/>
      <c r="H4" s="535"/>
      <c r="I4" s="535"/>
      <c r="J4" s="470"/>
      <c r="K4" s="531"/>
    </row>
    <row r="5" spans="1:11" ht="15.75">
      <c r="A5" s="34" t="s">
        <v>12</v>
      </c>
      <c r="B5" s="93"/>
      <c r="C5" s="93"/>
      <c r="D5" s="69"/>
      <c r="E5" s="69"/>
      <c r="F5" s="94"/>
      <c r="G5" s="95"/>
      <c r="H5" s="95"/>
      <c r="I5" s="95"/>
      <c r="J5" s="95"/>
      <c r="K5" s="95"/>
    </row>
    <row r="6" spans="1:11" ht="15.75">
      <c r="A6" s="15" t="s">
        <v>253</v>
      </c>
      <c r="B6" s="76">
        <v>2010</v>
      </c>
      <c r="C6" s="81">
        <v>4</v>
      </c>
      <c r="D6" s="82" t="s">
        <v>199</v>
      </c>
      <c r="E6" s="77" t="s">
        <v>200</v>
      </c>
      <c r="F6" s="16">
        <v>9565</v>
      </c>
      <c r="G6" s="17">
        <v>7140</v>
      </c>
      <c r="H6" s="16">
        <v>5740</v>
      </c>
      <c r="I6" s="17">
        <v>3530</v>
      </c>
      <c r="J6" s="16">
        <v>5740</v>
      </c>
      <c r="K6" s="98">
        <v>4000</v>
      </c>
    </row>
    <row r="7" spans="1:11" ht="15.75">
      <c r="A7" s="120" t="s">
        <v>112</v>
      </c>
      <c r="B7" s="120"/>
      <c r="C7" s="120"/>
      <c r="D7" s="120"/>
      <c r="E7" s="120"/>
      <c r="F7" s="120"/>
      <c r="G7" s="120"/>
      <c r="H7" s="120"/>
      <c r="I7" s="12"/>
      <c r="J7" s="12"/>
      <c r="K7" s="12"/>
    </row>
    <row r="8" spans="1:11" ht="15.75">
      <c r="A8" s="22" t="s">
        <v>254</v>
      </c>
      <c r="B8" s="125"/>
      <c r="C8" s="125"/>
      <c r="D8" s="125"/>
      <c r="E8" s="125"/>
      <c r="F8" s="125"/>
      <c r="G8" s="125"/>
      <c r="H8" s="125"/>
      <c r="I8" s="92"/>
      <c r="J8" s="92"/>
      <c r="K8" s="92"/>
    </row>
    <row r="9" spans="1:11" ht="15.75" customHeight="1">
      <c r="A9" s="310" t="s">
        <v>522</v>
      </c>
      <c r="B9" s="311"/>
      <c r="C9" s="311"/>
      <c r="D9" s="311"/>
      <c r="E9" s="311"/>
      <c r="F9" s="311"/>
      <c r="G9" s="311"/>
      <c r="H9" s="312"/>
      <c r="I9" s="312"/>
      <c r="J9" s="313"/>
      <c r="K9" s="314"/>
    </row>
    <row r="10" spans="1:11" ht="16.5" customHeight="1">
      <c r="A10" s="315"/>
      <c r="B10" s="316"/>
      <c r="C10" s="316"/>
      <c r="D10" s="316"/>
      <c r="E10" s="316"/>
      <c r="F10" s="316"/>
      <c r="G10" s="316"/>
      <c r="H10" s="316"/>
      <c r="I10" s="316"/>
      <c r="J10" s="316"/>
      <c r="K10" s="317"/>
    </row>
    <row r="11" spans="1:11" ht="15.75">
      <c r="A11" s="96" t="s">
        <v>201</v>
      </c>
      <c r="B11" s="97"/>
      <c r="C11" s="97"/>
      <c r="D11" s="97"/>
      <c r="E11" s="12"/>
      <c r="F11" s="12"/>
      <c r="G11" s="12"/>
      <c r="H11" s="12"/>
      <c r="I11" s="12"/>
      <c r="J11" s="12"/>
      <c r="K11" s="12"/>
    </row>
    <row r="12" spans="1:11" ht="15.75">
      <c r="A12" s="23" t="s">
        <v>8</v>
      </c>
      <c r="B12" s="532" t="s">
        <v>211</v>
      </c>
      <c r="C12" s="532"/>
      <c r="D12" s="532"/>
      <c r="E12" s="532"/>
      <c r="F12" s="532"/>
      <c r="G12" s="532"/>
      <c r="H12" s="532"/>
      <c r="I12" s="532"/>
      <c r="J12" s="532"/>
      <c r="K12" s="532"/>
    </row>
    <row r="13" spans="1:11" ht="51" customHeight="1">
      <c r="A13" s="78" t="s">
        <v>9</v>
      </c>
      <c r="B13" s="533" t="s">
        <v>202</v>
      </c>
      <c r="C13" s="533"/>
      <c r="D13" s="533"/>
      <c r="E13" s="533"/>
      <c r="F13" s="533"/>
      <c r="G13" s="533"/>
      <c r="H13" s="533"/>
      <c r="I13" s="533"/>
      <c r="J13" s="533"/>
      <c r="K13" s="533"/>
    </row>
    <row r="14" spans="1:11" ht="21">
      <c r="A14" s="24" t="s">
        <v>266</v>
      </c>
      <c r="B14" s="461"/>
      <c r="C14" s="461"/>
      <c r="D14" s="461"/>
      <c r="E14" s="461"/>
      <c r="F14" s="461"/>
      <c r="G14" s="461"/>
      <c r="H14" s="461"/>
      <c r="I14" s="461"/>
      <c r="J14" s="461"/>
      <c r="K14" s="461"/>
    </row>
    <row r="15" spans="1:11">
      <c r="A15" s="534" t="s">
        <v>101</v>
      </c>
      <c r="B15" s="339" t="s">
        <v>267</v>
      </c>
      <c r="C15" s="374"/>
      <c r="D15" s="374"/>
      <c r="E15" s="374"/>
      <c r="F15" s="340"/>
      <c r="G15" s="339" t="s">
        <v>276</v>
      </c>
      <c r="H15" s="294"/>
      <c r="I15" s="294"/>
      <c r="J15" s="294"/>
      <c r="K15" s="295"/>
    </row>
    <row r="16" spans="1:11">
      <c r="A16" s="534"/>
      <c r="B16" s="296"/>
      <c r="C16" s="465"/>
      <c r="D16" s="465"/>
      <c r="E16" s="465"/>
      <c r="F16" s="298"/>
      <c r="G16" s="296"/>
      <c r="H16" s="465"/>
      <c r="I16" s="465"/>
      <c r="J16" s="465"/>
      <c r="K16" s="298"/>
    </row>
    <row r="17" spans="1:11" ht="60.75" customHeight="1">
      <c r="A17" s="355"/>
      <c r="B17" s="299"/>
      <c r="C17" s="300"/>
      <c r="D17" s="300"/>
      <c r="E17" s="300"/>
      <c r="F17" s="301"/>
      <c r="G17" s="299"/>
      <c r="H17" s="300"/>
      <c r="I17" s="300"/>
      <c r="J17" s="300"/>
      <c r="K17" s="301"/>
    </row>
    <row r="18" spans="1:11" ht="21">
      <c r="A18" s="24" t="s">
        <v>114</v>
      </c>
      <c r="B18" s="461" t="s">
        <v>6</v>
      </c>
      <c r="C18" s="461"/>
      <c r="D18" s="461"/>
      <c r="E18" s="461"/>
      <c r="F18" s="461"/>
      <c r="G18" s="461"/>
      <c r="H18" s="461"/>
      <c r="I18" s="461"/>
      <c r="J18" s="461"/>
      <c r="K18" s="461"/>
    </row>
    <row r="19" spans="1:11" ht="17.25" customHeight="1">
      <c r="A19" s="124" t="s">
        <v>469</v>
      </c>
      <c r="B19" s="424" t="s">
        <v>224</v>
      </c>
      <c r="C19" s="424"/>
      <c r="D19" s="424"/>
      <c r="E19" s="424"/>
      <c r="F19" s="424"/>
      <c r="G19" s="424"/>
      <c r="H19" s="424"/>
      <c r="I19" s="424"/>
      <c r="J19" s="424"/>
      <c r="K19" s="424"/>
    </row>
    <row r="20" spans="1:11" ht="17.25" customHeight="1">
      <c r="A20" s="240" t="s">
        <v>470</v>
      </c>
      <c r="B20" s="424" t="s">
        <v>471</v>
      </c>
      <c r="C20" s="424"/>
      <c r="D20" s="424"/>
      <c r="E20" s="424"/>
      <c r="F20" s="424"/>
      <c r="G20" s="424"/>
      <c r="H20" s="424"/>
      <c r="I20" s="424"/>
      <c r="J20" s="424"/>
      <c r="K20" s="424"/>
    </row>
    <row r="21" spans="1:11" ht="17.25" customHeight="1">
      <c r="A21" s="122" t="s">
        <v>491</v>
      </c>
      <c r="B21" s="354" t="s">
        <v>495</v>
      </c>
      <c r="C21" s="424"/>
      <c r="D21" s="424"/>
      <c r="E21" s="424"/>
      <c r="F21" s="424"/>
      <c r="G21" s="424"/>
      <c r="H21" s="424"/>
      <c r="I21" s="424"/>
      <c r="J21" s="424"/>
      <c r="K21" s="424"/>
    </row>
    <row r="22" spans="1:11">
      <c r="A22" s="538" t="s">
        <v>119</v>
      </c>
      <c r="B22" s="424" t="s">
        <v>249</v>
      </c>
      <c r="C22" s="424"/>
      <c r="D22" s="424"/>
      <c r="E22" s="424"/>
      <c r="F22" s="424"/>
      <c r="G22" s="424"/>
      <c r="H22" s="424"/>
      <c r="I22" s="424"/>
      <c r="J22" s="424"/>
      <c r="K22" s="424"/>
    </row>
    <row r="23" spans="1:11">
      <c r="A23" s="539"/>
      <c r="B23" s="424"/>
      <c r="C23" s="424"/>
      <c r="D23" s="424"/>
      <c r="E23" s="424"/>
      <c r="F23" s="424"/>
      <c r="G23" s="424"/>
      <c r="H23" s="424"/>
      <c r="I23" s="424"/>
      <c r="J23" s="424"/>
      <c r="K23" s="424"/>
    </row>
    <row r="24" spans="1:11" ht="15.75">
      <c r="A24" s="123" t="s">
        <v>255</v>
      </c>
      <c r="B24" s="341" t="s">
        <v>257</v>
      </c>
      <c r="C24" s="343"/>
      <c r="D24" s="343"/>
      <c r="E24" s="343"/>
      <c r="F24" s="343"/>
      <c r="G24" s="343"/>
      <c r="H24" s="343"/>
      <c r="I24" s="343"/>
      <c r="J24" s="343"/>
      <c r="K24" s="344"/>
    </row>
    <row r="25" spans="1:11" ht="15.75">
      <c r="A25" s="227" t="s">
        <v>271</v>
      </c>
      <c r="B25" s="341" t="s">
        <v>277</v>
      </c>
      <c r="C25" s="343"/>
      <c r="D25" s="343"/>
      <c r="E25" s="343"/>
      <c r="F25" s="343"/>
      <c r="G25" s="343"/>
      <c r="H25" s="343"/>
      <c r="I25" s="343"/>
      <c r="J25" s="343"/>
      <c r="K25" s="344"/>
    </row>
    <row r="26" spans="1:11" ht="15.75">
      <c r="A26" s="227" t="s">
        <v>479</v>
      </c>
      <c r="B26" s="341" t="s">
        <v>480</v>
      </c>
      <c r="C26" s="343"/>
      <c r="D26" s="343"/>
      <c r="E26" s="343"/>
      <c r="F26" s="343"/>
      <c r="G26" s="343"/>
      <c r="H26" s="343"/>
      <c r="I26" s="343"/>
      <c r="J26" s="343"/>
      <c r="K26" s="344"/>
    </row>
    <row r="27" spans="1:11" ht="15.75">
      <c r="A27" s="123" t="s">
        <v>481</v>
      </c>
      <c r="B27" s="341" t="s">
        <v>482</v>
      </c>
      <c r="C27" s="343"/>
      <c r="D27" s="343"/>
      <c r="E27" s="343"/>
      <c r="F27" s="343"/>
      <c r="G27" s="343"/>
      <c r="H27" s="343"/>
      <c r="I27" s="343"/>
      <c r="J27" s="343"/>
      <c r="K27" s="344"/>
    </row>
    <row r="28" spans="1:11" ht="15.75">
      <c r="A28" s="529" t="s">
        <v>121</v>
      </c>
      <c r="B28" s="341" t="s">
        <v>256</v>
      </c>
      <c r="C28" s="342"/>
      <c r="D28" s="342"/>
      <c r="E28" s="342"/>
      <c r="F28" s="342"/>
      <c r="G28" s="342"/>
      <c r="H28" s="342"/>
      <c r="I28" s="342"/>
      <c r="J28" s="342"/>
      <c r="K28" s="460"/>
    </row>
    <row r="29" spans="1:11" ht="15.75">
      <c r="A29" s="529"/>
      <c r="B29" s="424" t="s">
        <v>203</v>
      </c>
      <c r="C29" s="424"/>
      <c r="D29" s="424"/>
      <c r="E29" s="424"/>
      <c r="F29" s="424"/>
      <c r="G29" s="424"/>
      <c r="H29" s="424"/>
      <c r="I29" s="424"/>
      <c r="J29" s="424"/>
      <c r="K29" s="424"/>
    </row>
    <row r="30" spans="1:11" ht="15.75">
      <c r="A30" s="122" t="s">
        <v>17</v>
      </c>
      <c r="B30" s="506" t="s">
        <v>123</v>
      </c>
      <c r="C30" s="506"/>
      <c r="D30" s="506"/>
      <c r="E30" s="506"/>
      <c r="F30" s="506"/>
      <c r="G30" s="506"/>
      <c r="H30" s="506"/>
      <c r="I30" s="506"/>
      <c r="J30" s="506"/>
      <c r="K30" s="506"/>
    </row>
    <row r="31" spans="1:11" ht="21">
      <c r="A31" s="79" t="s">
        <v>100</v>
      </c>
      <c r="B31" s="28"/>
      <c r="C31" s="28"/>
      <c r="D31" s="28"/>
      <c r="E31" s="28"/>
      <c r="F31" s="28"/>
      <c r="G31" s="28"/>
      <c r="H31" s="28"/>
      <c r="I31" s="80"/>
      <c r="J31" s="80"/>
      <c r="K31" s="80"/>
    </row>
    <row r="32" spans="1:11" ht="15.75" customHeight="1">
      <c r="A32" s="325" t="s">
        <v>2</v>
      </c>
      <c r="B32" s="327" t="s">
        <v>457</v>
      </c>
      <c r="C32" s="328"/>
      <c r="D32" s="328"/>
      <c r="E32" s="328"/>
      <c r="F32" s="328"/>
      <c r="G32" s="328"/>
      <c r="H32" s="328"/>
      <c r="I32" s="328"/>
      <c r="J32" s="328"/>
      <c r="K32" s="329"/>
    </row>
    <row r="33" spans="1:11" ht="15.75" customHeight="1">
      <c r="A33" s="326"/>
      <c r="B33" s="302" t="s">
        <v>66</v>
      </c>
      <c r="C33" s="292"/>
      <c r="D33" s="292"/>
      <c r="E33" s="292"/>
      <c r="F33" s="292"/>
      <c r="G33" s="292"/>
      <c r="H33" s="292"/>
      <c r="I33" s="292"/>
      <c r="J33" s="292"/>
      <c r="K33" s="303"/>
    </row>
    <row r="34" spans="1:11" ht="15.75" customHeight="1">
      <c r="A34" s="368"/>
      <c r="B34" s="302" t="s">
        <v>67</v>
      </c>
      <c r="C34" s="292"/>
      <c r="D34" s="292"/>
      <c r="E34" s="292"/>
      <c r="F34" s="292"/>
      <c r="G34" s="292"/>
      <c r="H34" s="292"/>
      <c r="I34" s="292"/>
      <c r="J34" s="292"/>
      <c r="K34" s="303"/>
    </row>
    <row r="35" spans="1:11" ht="15.75">
      <c r="A35" s="368"/>
      <c r="B35" s="302" t="s">
        <v>68</v>
      </c>
      <c r="C35" s="292"/>
      <c r="D35" s="292"/>
      <c r="E35" s="292"/>
      <c r="F35" s="292"/>
      <c r="G35" s="292"/>
      <c r="H35" s="292"/>
      <c r="I35" s="292"/>
      <c r="J35" s="292"/>
      <c r="K35" s="303"/>
    </row>
    <row r="36" spans="1:11" ht="15.75">
      <c r="A36" s="368"/>
      <c r="B36" s="302" t="s">
        <v>316</v>
      </c>
      <c r="C36" s="292"/>
      <c r="D36" s="292"/>
      <c r="E36" s="292"/>
      <c r="F36" s="292"/>
      <c r="G36" s="292"/>
      <c r="H36" s="292"/>
      <c r="I36" s="292"/>
      <c r="J36" s="292"/>
      <c r="K36" s="303"/>
    </row>
    <row r="37" spans="1:11" ht="15.75">
      <c r="A37" s="368"/>
      <c r="B37" s="302" t="s">
        <v>512</v>
      </c>
      <c r="C37" s="292"/>
      <c r="D37" s="292"/>
      <c r="E37" s="292"/>
      <c r="F37" s="292"/>
      <c r="G37" s="292"/>
      <c r="H37" s="292"/>
      <c r="I37" s="292"/>
      <c r="J37" s="292"/>
      <c r="K37" s="113"/>
    </row>
    <row r="38" spans="1:11" ht="15.75">
      <c r="A38" s="368"/>
      <c r="B38" s="302" t="s">
        <v>252</v>
      </c>
      <c r="C38" s="292"/>
      <c r="D38" s="292"/>
      <c r="E38" s="292"/>
      <c r="F38" s="292"/>
      <c r="G38" s="292"/>
      <c r="H38" s="292"/>
      <c r="I38" s="292"/>
      <c r="J38" s="292"/>
      <c r="K38" s="113"/>
    </row>
    <row r="39" spans="1:11" ht="15.75">
      <c r="A39" s="530"/>
      <c r="B39" s="322" t="s">
        <v>87</v>
      </c>
      <c r="C39" s="323"/>
      <c r="D39" s="323"/>
      <c r="E39" s="323"/>
      <c r="F39" s="323"/>
      <c r="G39" s="323"/>
      <c r="H39" s="323"/>
      <c r="I39" s="323"/>
      <c r="J39" s="323"/>
      <c r="K39" s="324"/>
    </row>
    <row r="40" spans="1:11" ht="30.75" customHeight="1">
      <c r="A40" s="114" t="s">
        <v>124</v>
      </c>
      <c r="B40" s="339" t="s">
        <v>204</v>
      </c>
      <c r="C40" s="374"/>
      <c r="D40" s="374"/>
      <c r="E40" s="374"/>
      <c r="F40" s="340"/>
      <c r="G40" s="110"/>
      <c r="H40" s="339" t="s">
        <v>135</v>
      </c>
      <c r="I40" s="374"/>
      <c r="J40" s="374"/>
      <c r="K40" s="340"/>
    </row>
    <row r="41" spans="1:11" ht="33.75" customHeight="1">
      <c r="A41" s="117" t="s">
        <v>106</v>
      </c>
      <c r="B41" s="347" t="s">
        <v>206</v>
      </c>
      <c r="C41" s="348"/>
      <c r="D41" s="348"/>
      <c r="E41" s="348"/>
      <c r="F41" s="349"/>
      <c r="G41" s="111"/>
      <c r="H41" s="347" t="s">
        <v>127</v>
      </c>
      <c r="I41" s="348"/>
      <c r="J41" s="348"/>
      <c r="K41" s="349"/>
    </row>
    <row r="42" spans="1:11" ht="15.75">
      <c r="A42" s="367" t="s">
        <v>105</v>
      </c>
      <c r="B42" s="339" t="s">
        <v>250</v>
      </c>
      <c r="C42" s="374"/>
      <c r="D42" s="374"/>
      <c r="E42" s="374"/>
      <c r="F42" s="374"/>
      <c r="G42" s="374"/>
      <c r="H42" s="374"/>
      <c r="I42" s="374"/>
      <c r="J42" s="374"/>
      <c r="K42" s="340"/>
    </row>
    <row r="43" spans="1:11" ht="15.75">
      <c r="A43" s="429"/>
      <c r="B43" s="347" t="s">
        <v>251</v>
      </c>
      <c r="C43" s="348"/>
      <c r="D43" s="348"/>
      <c r="E43" s="348"/>
      <c r="F43" s="348"/>
      <c r="G43" s="348"/>
      <c r="H43" s="348"/>
      <c r="I43" s="348"/>
      <c r="J43" s="348"/>
      <c r="K43" s="349"/>
    </row>
    <row r="44" spans="1:11" ht="37.5" customHeight="1">
      <c r="A44" s="122" t="s">
        <v>102</v>
      </c>
      <c r="B44" s="424" t="s">
        <v>275</v>
      </c>
      <c r="C44" s="424"/>
      <c r="D44" s="424"/>
      <c r="E44" s="424"/>
      <c r="F44" s="424"/>
      <c r="G44" s="424"/>
      <c r="H44" s="424"/>
      <c r="I44" s="424"/>
      <c r="J44" s="424"/>
      <c r="K44" s="424"/>
    </row>
    <row r="45" spans="1:11" ht="36" customHeight="1">
      <c r="A45" s="122" t="s">
        <v>75</v>
      </c>
      <c r="B45" s="424" t="s">
        <v>278</v>
      </c>
      <c r="C45" s="424"/>
      <c r="D45" s="424"/>
      <c r="E45" s="424"/>
      <c r="F45" s="424"/>
      <c r="G45" s="424"/>
      <c r="H45" s="424"/>
      <c r="I45" s="424"/>
      <c r="J45" s="424"/>
      <c r="K45" s="424"/>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sheetData>
  <mergeCells count="50">
    <mergeCell ref="B26:K26"/>
    <mergeCell ref="I3:I4"/>
    <mergeCell ref="J3:J4"/>
    <mergeCell ref="A3:A4"/>
    <mergeCell ref="B3:B4"/>
    <mergeCell ref="C3:C4"/>
    <mergeCell ref="D3:D4"/>
    <mergeCell ref="E3:E4"/>
    <mergeCell ref="F3:F4"/>
    <mergeCell ref="B24:K24"/>
    <mergeCell ref="B21:K21"/>
    <mergeCell ref="A22:A23"/>
    <mergeCell ref="B22:K23"/>
    <mergeCell ref="B20:K20"/>
    <mergeCell ref="A9:K10"/>
    <mergeCell ref="A42:A43"/>
    <mergeCell ref="K3:K4"/>
    <mergeCell ref="B12:K12"/>
    <mergeCell ref="B13:K13"/>
    <mergeCell ref="B14:K14"/>
    <mergeCell ref="B40:F40"/>
    <mergeCell ref="B41:F41"/>
    <mergeCell ref="B27:K27"/>
    <mergeCell ref="A15:A17"/>
    <mergeCell ref="B15:F17"/>
    <mergeCell ref="G15:K17"/>
    <mergeCell ref="B18:K18"/>
    <mergeCell ref="G3:G4"/>
    <mergeCell ref="H3:H4"/>
    <mergeCell ref="B19:K19"/>
    <mergeCell ref="B25:K25"/>
    <mergeCell ref="A28:A29"/>
    <mergeCell ref="B28:K28"/>
    <mergeCell ref="B29:K29"/>
    <mergeCell ref="B30:K30"/>
    <mergeCell ref="A32:A39"/>
    <mergeCell ref="B32:K32"/>
    <mergeCell ref="B33:K33"/>
    <mergeCell ref="B34:K34"/>
    <mergeCell ref="B35:K35"/>
    <mergeCell ref="B36:K36"/>
    <mergeCell ref="B43:K43"/>
    <mergeCell ref="B44:K44"/>
    <mergeCell ref="B45:K45"/>
    <mergeCell ref="B37:J37"/>
    <mergeCell ref="B38:J38"/>
    <mergeCell ref="B39:K39"/>
    <mergeCell ref="H40:K40"/>
    <mergeCell ref="H41:K41"/>
    <mergeCell ref="B42:K42"/>
  </mergeCells>
  <printOptions horizontalCentered="1"/>
  <pageMargins left="0.39000000000000007" right="1.4022916666666667" top="1.71" bottom="0.98" header="0.51" footer="0.51"/>
  <pageSetup paperSize="9" scale="51" fitToHeight="0" orientation="portrait" r:id="rId1"/>
  <headerFooter>
    <oddHeader>&amp;L&amp;"Garamond Premr Pro,Regular"&amp;20&amp;K001892PRICE LIST 2018&amp;16
&amp;20Navigare Yachting - Maldives&amp;16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64"/>
  <sheetViews>
    <sheetView topLeftCell="G22" zoomScaleNormal="100" zoomScaleSheetLayoutView="90" workbookViewId="0">
      <selection activeCell="G41" sqref="G41:P41"/>
    </sheetView>
  </sheetViews>
  <sheetFormatPr defaultColWidth="8.625" defaultRowHeight="12.75"/>
  <cols>
    <col min="1" max="2" width="9.875" style="1" hidden="1" customWidth="1"/>
    <col min="3" max="3" width="3.625" style="1" hidden="1" customWidth="1"/>
    <col min="4" max="6" width="4.875" style="1" hidden="1" customWidth="1"/>
    <col min="7" max="7" width="36.5" style="7" customWidth="1"/>
    <col min="8" max="9" width="8.625" style="7"/>
    <col min="10" max="10" width="12.125" style="7" customWidth="1"/>
    <col min="11" max="11" width="8.625" style="7"/>
    <col min="12" max="16" width="11.25" style="7" customWidth="1"/>
    <col min="17" max="16384" width="8.625" style="1"/>
  </cols>
  <sheetData>
    <row r="1" spans="1:16" ht="21">
      <c r="A1" s="41"/>
      <c r="B1" s="41"/>
      <c r="C1" s="41"/>
      <c r="D1" s="41"/>
      <c r="E1" s="41"/>
      <c r="F1" s="41"/>
      <c r="G1" s="9" t="s">
        <v>408</v>
      </c>
      <c r="H1" s="10"/>
      <c r="I1" s="10" t="s">
        <v>81</v>
      </c>
      <c r="J1" s="10"/>
      <c r="K1" s="10"/>
      <c r="L1" s="10"/>
      <c r="M1" s="10"/>
      <c r="N1" s="10"/>
      <c r="O1" s="10"/>
      <c r="P1" s="10"/>
    </row>
    <row r="2" spans="1:16" ht="15.75">
      <c r="G2" s="12" t="s">
        <v>409</v>
      </c>
      <c r="H2" s="43"/>
      <c r="I2" s="43"/>
      <c r="J2" s="12"/>
      <c r="K2" s="12"/>
      <c r="L2" s="12"/>
      <c r="M2" s="12"/>
      <c r="N2" s="12"/>
      <c r="O2" s="12"/>
      <c r="P2" s="12"/>
    </row>
    <row r="3" spans="1:16" ht="15.75" customHeight="1">
      <c r="G3" s="536" t="s">
        <v>3</v>
      </c>
      <c r="H3" s="470" t="s">
        <v>98</v>
      </c>
      <c r="I3" s="393" t="s">
        <v>146</v>
      </c>
      <c r="J3" s="470" t="s">
        <v>11</v>
      </c>
      <c r="K3" s="393" t="s">
        <v>151</v>
      </c>
      <c r="L3" s="470" t="s">
        <v>410</v>
      </c>
      <c r="M3" s="470" t="s">
        <v>411</v>
      </c>
      <c r="N3" s="470" t="s">
        <v>412</v>
      </c>
      <c r="O3" s="470" t="s">
        <v>413</v>
      </c>
      <c r="P3" s="470" t="s">
        <v>414</v>
      </c>
    </row>
    <row r="4" spans="1:16">
      <c r="G4" s="536"/>
      <c r="H4" s="471"/>
      <c r="I4" s="395"/>
      <c r="J4" s="537"/>
      <c r="K4" s="395"/>
      <c r="L4" s="535"/>
      <c r="M4" s="470"/>
      <c r="N4" s="535"/>
      <c r="O4" s="535"/>
      <c r="P4" s="470"/>
    </row>
    <row r="5" spans="1:16" ht="15.75" customHeight="1">
      <c r="G5" s="34" t="s">
        <v>415</v>
      </c>
      <c r="H5" s="93"/>
      <c r="I5" s="93"/>
      <c r="J5" s="69"/>
      <c r="K5" s="69"/>
      <c r="L5" s="93"/>
      <c r="M5" s="93"/>
      <c r="N5" s="69"/>
      <c r="O5" s="69"/>
      <c r="P5" s="93"/>
    </row>
    <row r="6" spans="1:16" ht="15.75" customHeight="1">
      <c r="G6" s="222" t="s">
        <v>63</v>
      </c>
      <c r="H6" s="93"/>
      <c r="I6" s="93"/>
      <c r="J6" s="69"/>
      <c r="K6" s="69"/>
      <c r="L6" s="93"/>
      <c r="M6" s="93"/>
      <c r="N6" s="69"/>
      <c r="O6" s="69"/>
      <c r="P6" s="93"/>
    </row>
    <row r="7" spans="1:16" ht="15.75" customHeight="1">
      <c r="G7" s="15" t="s">
        <v>416</v>
      </c>
      <c r="H7" s="76">
        <v>2010</v>
      </c>
      <c r="I7" s="81" t="s">
        <v>417</v>
      </c>
      <c r="J7" s="223" t="s">
        <v>418</v>
      </c>
      <c r="K7" s="77">
        <v>12</v>
      </c>
      <c r="L7" s="224">
        <v>2840</v>
      </c>
      <c r="M7" s="98">
        <v>3690</v>
      </c>
      <c r="N7" s="224">
        <v>4390</v>
      </c>
      <c r="O7" s="98">
        <v>4690</v>
      </c>
      <c r="P7" s="224">
        <v>4940</v>
      </c>
    </row>
    <row r="8" spans="1:16" ht="15.75" customHeight="1">
      <c r="G8" s="15" t="s">
        <v>419</v>
      </c>
      <c r="H8" s="76">
        <v>2013</v>
      </c>
      <c r="I8" s="81">
        <v>5</v>
      </c>
      <c r="J8" s="223">
        <v>10</v>
      </c>
      <c r="K8" s="77">
        <v>10</v>
      </c>
      <c r="L8" s="224">
        <v>2540</v>
      </c>
      <c r="M8" s="98">
        <v>3290</v>
      </c>
      <c r="N8" s="224">
        <v>3990</v>
      </c>
      <c r="O8" s="98">
        <v>4240</v>
      </c>
      <c r="P8" s="224">
        <v>4490</v>
      </c>
    </row>
    <row r="9" spans="1:16" ht="15.75" customHeight="1">
      <c r="G9" s="15" t="s">
        <v>420</v>
      </c>
      <c r="H9" s="76">
        <v>2013</v>
      </c>
      <c r="I9" s="81" t="s">
        <v>152</v>
      </c>
      <c r="J9" s="223" t="s">
        <v>421</v>
      </c>
      <c r="K9" s="77">
        <v>10</v>
      </c>
      <c r="L9" s="224">
        <v>2540</v>
      </c>
      <c r="M9" s="98">
        <v>3290</v>
      </c>
      <c r="N9" s="224">
        <v>3990</v>
      </c>
      <c r="O9" s="98">
        <v>4240</v>
      </c>
      <c r="P9" s="224">
        <v>4490</v>
      </c>
    </row>
    <row r="10" spans="1:16" ht="15.75" customHeight="1">
      <c r="G10" s="225" t="s">
        <v>5</v>
      </c>
      <c r="H10" s="93"/>
      <c r="I10" s="93"/>
      <c r="J10" s="69"/>
      <c r="K10" s="69"/>
      <c r="L10" s="94"/>
      <c r="M10" s="95"/>
      <c r="N10" s="95"/>
      <c r="O10" s="95"/>
      <c r="P10" s="95"/>
    </row>
    <row r="11" spans="1:16" ht="15.75" customHeight="1">
      <c r="G11" s="15" t="s">
        <v>422</v>
      </c>
      <c r="H11" s="76">
        <v>2016</v>
      </c>
      <c r="I11" s="81">
        <v>4</v>
      </c>
      <c r="J11" s="223">
        <v>8</v>
      </c>
      <c r="K11" s="77">
        <v>8</v>
      </c>
      <c r="L11" s="224">
        <v>2270</v>
      </c>
      <c r="M11" s="98">
        <v>2970</v>
      </c>
      <c r="N11" s="224">
        <v>3570</v>
      </c>
      <c r="O11" s="98">
        <v>3770</v>
      </c>
      <c r="P11" s="224">
        <v>3970</v>
      </c>
    </row>
    <row r="12" spans="1:16" ht="15.75" customHeight="1">
      <c r="G12" s="15" t="s">
        <v>53</v>
      </c>
      <c r="H12" s="76">
        <v>2015</v>
      </c>
      <c r="I12" s="81">
        <v>4</v>
      </c>
      <c r="J12" s="223">
        <v>8</v>
      </c>
      <c r="K12" s="77">
        <v>8</v>
      </c>
      <c r="L12" s="224">
        <v>2270</v>
      </c>
      <c r="M12" s="98">
        <v>2970</v>
      </c>
      <c r="N12" s="224">
        <v>3570</v>
      </c>
      <c r="O12" s="98">
        <v>3770</v>
      </c>
      <c r="P12" s="224">
        <v>3970</v>
      </c>
    </row>
    <row r="13" spans="1:16" ht="15.75" customHeight="1">
      <c r="G13" s="15" t="s">
        <v>423</v>
      </c>
      <c r="H13" s="76">
        <v>2011</v>
      </c>
      <c r="I13" s="81">
        <v>4</v>
      </c>
      <c r="J13" s="223">
        <v>8</v>
      </c>
      <c r="K13" s="77">
        <v>8</v>
      </c>
      <c r="L13" s="224">
        <v>2070</v>
      </c>
      <c r="M13" s="98">
        <v>2720</v>
      </c>
      <c r="N13" s="224">
        <v>3270</v>
      </c>
      <c r="O13" s="98">
        <v>3470</v>
      </c>
      <c r="P13" s="224">
        <v>3670</v>
      </c>
    </row>
    <row r="14" spans="1:16" ht="15.75" customHeight="1">
      <c r="G14" s="15" t="s">
        <v>424</v>
      </c>
      <c r="H14" s="76">
        <v>2009</v>
      </c>
      <c r="I14" s="81">
        <v>4</v>
      </c>
      <c r="J14" s="223">
        <v>8</v>
      </c>
      <c r="K14" s="77">
        <v>8</v>
      </c>
      <c r="L14" s="224">
        <v>1720</v>
      </c>
      <c r="M14" s="98">
        <v>2270</v>
      </c>
      <c r="N14" s="224">
        <v>2770</v>
      </c>
      <c r="O14" s="98">
        <v>2920</v>
      </c>
      <c r="P14" s="224">
        <v>3120</v>
      </c>
    </row>
    <row r="15" spans="1:16" ht="15.75" customHeight="1">
      <c r="G15" s="13" t="s">
        <v>1</v>
      </c>
      <c r="H15" s="93"/>
      <c r="I15" s="93"/>
      <c r="J15" s="69"/>
      <c r="K15" s="69"/>
      <c r="L15" s="94"/>
      <c r="M15" s="95"/>
      <c r="N15" s="95"/>
      <c r="O15" s="95"/>
      <c r="P15" s="95"/>
    </row>
    <row r="16" spans="1:16" ht="15.75" customHeight="1">
      <c r="G16" s="15" t="s">
        <v>425</v>
      </c>
      <c r="H16" s="76">
        <v>2012</v>
      </c>
      <c r="I16" s="81">
        <v>3</v>
      </c>
      <c r="J16" s="223" t="s">
        <v>426</v>
      </c>
      <c r="K16" s="77">
        <v>7</v>
      </c>
      <c r="L16" s="224">
        <v>2340</v>
      </c>
      <c r="M16" s="98">
        <v>3040</v>
      </c>
      <c r="N16" s="224">
        <v>3640</v>
      </c>
      <c r="O16" s="98">
        <v>3840</v>
      </c>
      <c r="P16" s="224">
        <v>4090</v>
      </c>
    </row>
    <row r="17" spans="7:16" ht="15.75" customHeight="1">
      <c r="G17" s="15" t="s">
        <v>53</v>
      </c>
      <c r="H17" s="76">
        <v>2014</v>
      </c>
      <c r="I17" s="81">
        <v>3</v>
      </c>
      <c r="J17" s="223">
        <v>6</v>
      </c>
      <c r="K17" s="77">
        <v>6</v>
      </c>
      <c r="L17" s="224">
        <v>2220</v>
      </c>
      <c r="M17" s="98">
        <v>2870</v>
      </c>
      <c r="N17" s="224">
        <v>3420</v>
      </c>
      <c r="O17" s="98">
        <v>3670</v>
      </c>
      <c r="P17" s="224">
        <v>3870</v>
      </c>
    </row>
    <row r="18" spans="7:16" ht="15.75" customHeight="1">
      <c r="G18" s="15" t="s">
        <v>427</v>
      </c>
      <c r="H18" s="76">
        <v>2012</v>
      </c>
      <c r="I18" s="81">
        <v>3</v>
      </c>
      <c r="J18" s="223">
        <v>6</v>
      </c>
      <c r="K18" s="77">
        <v>6</v>
      </c>
      <c r="L18" s="224">
        <v>1870</v>
      </c>
      <c r="M18" s="98">
        <v>2470</v>
      </c>
      <c r="N18" s="224">
        <v>2970</v>
      </c>
      <c r="O18" s="98">
        <v>3170</v>
      </c>
      <c r="P18" s="224">
        <v>3370</v>
      </c>
    </row>
    <row r="19" spans="7:16" ht="15.75" customHeight="1">
      <c r="G19" s="15" t="s">
        <v>428</v>
      </c>
      <c r="H19" s="76" t="s">
        <v>143</v>
      </c>
      <c r="I19" s="81">
        <v>3</v>
      </c>
      <c r="J19" s="223">
        <v>6</v>
      </c>
      <c r="K19" s="77">
        <v>6</v>
      </c>
      <c r="L19" s="224">
        <v>1750</v>
      </c>
      <c r="M19" s="98">
        <v>2300</v>
      </c>
      <c r="N19" s="224">
        <v>2800</v>
      </c>
      <c r="O19" s="98">
        <v>2950</v>
      </c>
      <c r="P19" s="224">
        <v>3100</v>
      </c>
    </row>
    <row r="20" spans="7:16" ht="15.75" customHeight="1">
      <c r="G20" s="15" t="s">
        <v>429</v>
      </c>
      <c r="H20" s="76">
        <v>2015</v>
      </c>
      <c r="I20" s="81">
        <v>3</v>
      </c>
      <c r="J20" s="223">
        <v>6</v>
      </c>
      <c r="K20" s="77">
        <v>6</v>
      </c>
      <c r="L20" s="224">
        <v>1650</v>
      </c>
      <c r="M20" s="98">
        <v>2200</v>
      </c>
      <c r="N20" s="224">
        <v>2700</v>
      </c>
      <c r="O20" s="98">
        <v>2850</v>
      </c>
      <c r="P20" s="224">
        <v>3000</v>
      </c>
    </row>
    <row r="21" spans="7:16" ht="15.75" customHeight="1">
      <c r="G21" s="15" t="s">
        <v>430</v>
      </c>
      <c r="H21" s="76">
        <v>2016</v>
      </c>
      <c r="I21" s="81">
        <v>3</v>
      </c>
      <c r="J21" s="223">
        <v>6</v>
      </c>
      <c r="K21" s="77">
        <v>6</v>
      </c>
      <c r="L21" s="224">
        <v>1750</v>
      </c>
      <c r="M21" s="98">
        <v>2300</v>
      </c>
      <c r="N21" s="224">
        <v>2800</v>
      </c>
      <c r="O21" s="98">
        <v>2950</v>
      </c>
      <c r="P21" s="224">
        <v>3100</v>
      </c>
    </row>
    <row r="22" spans="7:16" ht="15.75" customHeight="1">
      <c r="G22" s="15" t="s">
        <v>431</v>
      </c>
      <c r="H22" s="76">
        <v>2014</v>
      </c>
      <c r="I22" s="81">
        <v>3</v>
      </c>
      <c r="J22" s="223">
        <v>6</v>
      </c>
      <c r="K22" s="77">
        <v>6</v>
      </c>
      <c r="L22" s="224">
        <v>1650</v>
      </c>
      <c r="M22" s="98">
        <v>2200</v>
      </c>
      <c r="N22" s="224">
        <v>2700</v>
      </c>
      <c r="O22" s="98">
        <v>2850</v>
      </c>
      <c r="P22" s="224">
        <v>3000</v>
      </c>
    </row>
    <row r="23" spans="7:16" ht="15.75" customHeight="1">
      <c r="G23" s="15" t="s">
        <v>432</v>
      </c>
      <c r="H23" s="76">
        <v>2012</v>
      </c>
      <c r="I23" s="81">
        <v>3</v>
      </c>
      <c r="J23" s="223">
        <v>6</v>
      </c>
      <c r="K23" s="77">
        <v>6</v>
      </c>
      <c r="L23" s="224">
        <v>1600</v>
      </c>
      <c r="M23" s="98">
        <v>2100</v>
      </c>
      <c r="N23" s="224">
        <v>2550</v>
      </c>
      <c r="O23" s="98">
        <v>2700</v>
      </c>
      <c r="P23" s="224">
        <v>2850</v>
      </c>
    </row>
    <row r="24" spans="7:16" ht="15.75">
      <c r="G24" s="13" t="s">
        <v>387</v>
      </c>
      <c r="H24" s="93"/>
      <c r="I24" s="93"/>
      <c r="J24" s="69"/>
      <c r="K24" s="69"/>
      <c r="L24" s="94"/>
      <c r="M24" s="95"/>
      <c r="N24" s="95"/>
      <c r="O24" s="95"/>
      <c r="P24" s="95"/>
    </row>
    <row r="25" spans="7:16" ht="15.75">
      <c r="G25" s="15" t="s">
        <v>433</v>
      </c>
      <c r="H25" s="76">
        <v>2014</v>
      </c>
      <c r="I25" s="81">
        <v>2</v>
      </c>
      <c r="J25" s="223">
        <v>4</v>
      </c>
      <c r="K25" s="77">
        <v>4</v>
      </c>
      <c r="L25" s="224">
        <v>1250</v>
      </c>
      <c r="M25" s="98">
        <v>1650</v>
      </c>
      <c r="N25" s="224">
        <v>1950</v>
      </c>
      <c r="O25" s="98">
        <v>2100</v>
      </c>
      <c r="P25" s="224">
        <v>2250</v>
      </c>
    </row>
    <row r="26" spans="7:16" ht="15.75">
      <c r="G26" s="15" t="s">
        <v>434</v>
      </c>
      <c r="H26" s="76">
        <v>2013</v>
      </c>
      <c r="I26" s="81">
        <v>2</v>
      </c>
      <c r="J26" s="223">
        <v>4</v>
      </c>
      <c r="K26" s="77">
        <v>4</v>
      </c>
      <c r="L26" s="224">
        <v>1050</v>
      </c>
      <c r="M26" s="98">
        <v>1400</v>
      </c>
      <c r="N26" s="224">
        <v>1700</v>
      </c>
      <c r="O26" s="98">
        <v>1800</v>
      </c>
      <c r="P26" s="224">
        <v>1900</v>
      </c>
    </row>
    <row r="27" spans="7:16" ht="16.5" customHeight="1">
      <c r="G27" s="147" t="s">
        <v>112</v>
      </c>
      <c r="H27" s="147"/>
      <c r="I27" s="147"/>
      <c r="J27" s="147"/>
      <c r="K27" s="147"/>
      <c r="L27" s="147"/>
      <c r="M27" s="147"/>
      <c r="N27" s="147"/>
      <c r="O27" s="12"/>
      <c r="P27" s="12"/>
    </row>
    <row r="28" spans="7:16" ht="15.75" customHeight="1">
      <c r="G28" s="310" t="s">
        <v>522</v>
      </c>
      <c r="H28" s="311"/>
      <c r="I28" s="311"/>
      <c r="J28" s="311"/>
      <c r="K28" s="311"/>
      <c r="L28" s="311"/>
      <c r="M28" s="311"/>
      <c r="N28" s="312"/>
      <c r="O28" s="312"/>
      <c r="P28" s="314"/>
    </row>
    <row r="29" spans="7:16" ht="15.75" customHeight="1">
      <c r="G29" s="315"/>
      <c r="H29" s="316"/>
      <c r="I29" s="316"/>
      <c r="J29" s="316"/>
      <c r="K29" s="316"/>
      <c r="L29" s="316"/>
      <c r="M29" s="316"/>
      <c r="N29" s="316"/>
      <c r="O29" s="316"/>
      <c r="P29" s="317"/>
    </row>
    <row r="30" spans="7:16" ht="15.75" customHeight="1">
      <c r="G30" s="96" t="s">
        <v>201</v>
      </c>
      <c r="H30" s="97"/>
      <c r="I30" s="97"/>
      <c r="J30" s="97"/>
      <c r="K30" s="12"/>
      <c r="L30" s="12"/>
      <c r="M30" s="12"/>
      <c r="N30" s="12"/>
      <c r="O30" s="12"/>
      <c r="P30" s="12"/>
    </row>
    <row r="31" spans="7:16" ht="16.5" customHeight="1">
      <c r="G31" s="23" t="s">
        <v>8</v>
      </c>
      <c r="H31" s="532" t="s">
        <v>211</v>
      </c>
      <c r="I31" s="532"/>
      <c r="J31" s="532"/>
      <c r="K31" s="532"/>
      <c r="L31" s="532"/>
      <c r="M31" s="532"/>
      <c r="N31" s="532"/>
      <c r="O31" s="532"/>
      <c r="P31" s="532"/>
    </row>
    <row r="32" spans="7:16" ht="16.5" customHeight="1">
      <c r="G32" s="78" t="s">
        <v>9</v>
      </c>
      <c r="H32" s="533" t="s">
        <v>435</v>
      </c>
      <c r="I32" s="533"/>
      <c r="J32" s="533"/>
      <c r="K32" s="533"/>
      <c r="L32" s="533"/>
      <c r="M32" s="533"/>
      <c r="N32" s="533"/>
      <c r="O32" s="533"/>
      <c r="P32" s="533"/>
    </row>
    <row r="33" spans="7:16" ht="21">
      <c r="G33" s="24" t="s">
        <v>218</v>
      </c>
      <c r="H33" s="97"/>
      <c r="I33" s="12"/>
      <c r="J33" s="12"/>
      <c r="K33" s="12"/>
      <c r="L33" s="12"/>
      <c r="M33" s="12"/>
      <c r="N33" s="12"/>
      <c r="O33" s="97"/>
      <c r="P33" s="12"/>
    </row>
    <row r="34" spans="7:16" ht="15.75">
      <c r="G34" s="544" t="s">
        <v>180</v>
      </c>
      <c r="H34" s="339" t="s">
        <v>436</v>
      </c>
      <c r="I34" s="374"/>
      <c r="J34" s="374"/>
      <c r="K34" s="374"/>
      <c r="L34" s="340"/>
      <c r="M34" s="374" t="s">
        <v>453</v>
      </c>
      <c r="N34" s="294"/>
      <c r="O34" s="294"/>
      <c r="P34" s="295"/>
    </row>
    <row r="35" spans="7:16" ht="15.75">
      <c r="G35" s="534"/>
      <c r="H35" s="381" t="s">
        <v>437</v>
      </c>
      <c r="I35" s="292"/>
      <c r="J35" s="292"/>
      <c r="K35" s="292"/>
      <c r="L35" s="303"/>
      <c r="M35" s="302"/>
      <c r="N35" s="465"/>
      <c r="O35" s="465"/>
      <c r="P35" s="298"/>
    </row>
    <row r="36" spans="7:16" ht="15.75">
      <c r="G36" s="544"/>
      <c r="H36" s="302" t="s">
        <v>438</v>
      </c>
      <c r="I36" s="292"/>
      <c r="J36" s="292"/>
      <c r="K36" s="292"/>
      <c r="L36" s="303"/>
      <c r="M36" s="292"/>
      <c r="N36" s="465"/>
      <c r="O36" s="465"/>
      <c r="P36" s="298"/>
    </row>
    <row r="37" spans="7:16" ht="135.75" customHeight="1">
      <c r="G37" s="544"/>
      <c r="H37" s="347"/>
      <c r="I37" s="348"/>
      <c r="J37" s="348"/>
      <c r="K37" s="348"/>
      <c r="L37" s="349"/>
      <c r="M37" s="465"/>
      <c r="N37" s="297"/>
      <c r="O37" s="297"/>
      <c r="P37" s="298"/>
    </row>
    <row r="38" spans="7:16" ht="145.5" customHeight="1">
      <c r="G38" s="534"/>
      <c r="H38" s="347"/>
      <c r="I38" s="348"/>
      <c r="J38" s="348"/>
      <c r="K38" s="348"/>
      <c r="L38" s="349"/>
      <c r="M38" s="406" t="s">
        <v>137</v>
      </c>
      <c r="N38" s="342"/>
      <c r="O38" s="342"/>
      <c r="P38" s="460"/>
    </row>
    <row r="39" spans="7:16" ht="15.75">
      <c r="G39" s="150" t="s">
        <v>439</v>
      </c>
      <c r="H39" s="541" t="s">
        <v>440</v>
      </c>
      <c r="I39" s="542"/>
      <c r="J39" s="542"/>
      <c r="K39" s="542"/>
      <c r="L39" s="542"/>
      <c r="M39" s="542"/>
      <c r="N39" s="542"/>
      <c r="O39" s="542"/>
      <c r="P39" s="543"/>
    </row>
    <row r="40" spans="7:16" ht="22.5" customHeight="1">
      <c r="G40" s="24" t="s">
        <v>114</v>
      </c>
      <c r="H40" s="397" t="s">
        <v>6</v>
      </c>
      <c r="I40" s="397"/>
      <c r="J40" s="397"/>
      <c r="K40" s="397"/>
      <c r="L40" s="397"/>
      <c r="M40" s="397"/>
      <c r="N40" s="397"/>
      <c r="O40" s="397"/>
      <c r="P40" s="540"/>
    </row>
    <row r="41" spans="7:16" ht="36" customHeight="1">
      <c r="G41" s="151" t="s">
        <v>114</v>
      </c>
      <c r="H41" s="424" t="s">
        <v>492</v>
      </c>
      <c r="I41" s="424"/>
      <c r="J41" s="424"/>
      <c r="K41" s="424"/>
      <c r="L41" s="424"/>
      <c r="M41" s="424"/>
      <c r="N41" s="424"/>
      <c r="O41" s="424"/>
      <c r="P41" s="424"/>
    </row>
    <row r="42" spans="7:16" ht="15.75" customHeight="1">
      <c r="G42" s="152" t="s">
        <v>441</v>
      </c>
      <c r="H42" s="424" t="s">
        <v>442</v>
      </c>
      <c r="I42" s="424"/>
      <c r="J42" s="424"/>
      <c r="K42" s="424"/>
      <c r="L42" s="424"/>
      <c r="M42" s="424"/>
      <c r="N42" s="424"/>
      <c r="O42" s="424"/>
      <c r="P42" s="424"/>
    </row>
    <row r="43" spans="7:16" ht="15.75" customHeight="1">
      <c r="G43" s="151" t="s">
        <v>491</v>
      </c>
      <c r="H43" s="354" t="s">
        <v>495</v>
      </c>
      <c r="I43" s="424"/>
      <c r="J43" s="424"/>
      <c r="K43" s="424"/>
      <c r="L43" s="424"/>
      <c r="M43" s="424"/>
      <c r="N43" s="424"/>
      <c r="O43" s="424"/>
      <c r="P43" s="424"/>
    </row>
    <row r="44" spans="7:16" ht="15.75" customHeight="1">
      <c r="G44" s="150" t="s">
        <v>443</v>
      </c>
      <c r="H44" s="424" t="s">
        <v>444</v>
      </c>
      <c r="I44" s="424"/>
      <c r="J44" s="424"/>
      <c r="K44" s="424"/>
      <c r="L44" s="424"/>
      <c r="M44" s="424"/>
      <c r="N44" s="424"/>
      <c r="O44" s="424"/>
      <c r="P44" s="424"/>
    </row>
    <row r="45" spans="7:16" ht="15.75" customHeight="1">
      <c r="G45" s="150" t="s">
        <v>255</v>
      </c>
      <c r="H45" s="341" t="s">
        <v>445</v>
      </c>
      <c r="I45" s="343"/>
      <c r="J45" s="343"/>
      <c r="K45" s="343"/>
      <c r="L45" s="343"/>
      <c r="M45" s="343"/>
      <c r="N45" s="343"/>
      <c r="O45" s="343"/>
      <c r="P45" s="344"/>
    </row>
    <row r="46" spans="7:16" ht="15.75" customHeight="1">
      <c r="G46" s="150" t="s">
        <v>121</v>
      </c>
      <c r="H46" s="341" t="s">
        <v>446</v>
      </c>
      <c r="I46" s="342"/>
      <c r="J46" s="342"/>
      <c r="K46" s="342"/>
      <c r="L46" s="342"/>
      <c r="M46" s="342"/>
      <c r="N46" s="342"/>
      <c r="O46" s="342"/>
      <c r="P46" s="460"/>
    </row>
    <row r="47" spans="7:16" ht="15.75" customHeight="1">
      <c r="G47" s="325" t="s">
        <v>2</v>
      </c>
      <c r="H47" s="339" t="s">
        <v>643</v>
      </c>
      <c r="I47" s="374"/>
      <c r="J47" s="374"/>
      <c r="K47" s="374"/>
      <c r="L47" s="374"/>
      <c r="M47" s="374"/>
      <c r="N47" s="374"/>
      <c r="O47" s="374"/>
      <c r="P47" s="340"/>
    </row>
    <row r="48" spans="7:16" ht="15.75" customHeight="1">
      <c r="G48" s="326"/>
      <c r="H48" s="302" t="s">
        <v>66</v>
      </c>
      <c r="I48" s="292"/>
      <c r="J48" s="292"/>
      <c r="K48" s="292"/>
      <c r="L48" s="292"/>
      <c r="M48" s="292"/>
      <c r="N48" s="292"/>
      <c r="O48" s="292"/>
      <c r="P48" s="303"/>
    </row>
    <row r="49" spans="7:16" ht="15.75" customHeight="1">
      <c r="G49" s="326"/>
      <c r="H49" s="302" t="s">
        <v>68</v>
      </c>
      <c r="I49" s="292"/>
      <c r="J49" s="292"/>
      <c r="K49" s="292"/>
      <c r="L49" s="292"/>
      <c r="M49" s="292"/>
      <c r="N49" s="140"/>
      <c r="O49" s="140"/>
      <c r="P49" s="141"/>
    </row>
    <row r="50" spans="7:16" ht="15.75" customHeight="1">
      <c r="G50" s="326"/>
      <c r="H50" s="302" t="s">
        <v>520</v>
      </c>
      <c r="I50" s="292"/>
      <c r="J50" s="292"/>
      <c r="K50" s="292"/>
      <c r="L50" s="292"/>
      <c r="M50" s="292"/>
      <c r="N50" s="244"/>
      <c r="O50" s="244"/>
      <c r="P50" s="245"/>
    </row>
    <row r="51" spans="7:16" ht="15.75" customHeight="1">
      <c r="G51" s="326"/>
      <c r="H51" s="322" t="s">
        <v>644</v>
      </c>
      <c r="I51" s="323"/>
      <c r="J51" s="323"/>
      <c r="K51" s="323"/>
      <c r="L51" s="323"/>
      <c r="M51" s="323"/>
      <c r="N51" s="323"/>
      <c r="O51" s="323"/>
      <c r="P51" s="324"/>
    </row>
    <row r="52" spans="7:16" ht="15.75">
      <c r="G52" s="152" t="s">
        <v>124</v>
      </c>
      <c r="H52" s="424" t="s">
        <v>447</v>
      </c>
      <c r="I52" s="424"/>
      <c r="J52" s="424"/>
      <c r="K52" s="424"/>
      <c r="L52" s="424"/>
      <c r="M52" s="149"/>
      <c r="N52" s="424" t="s">
        <v>205</v>
      </c>
      <c r="O52" s="424"/>
      <c r="P52" s="424"/>
    </row>
    <row r="53" spans="7:16" ht="15.75">
      <c r="G53" s="152" t="s">
        <v>106</v>
      </c>
      <c r="H53" s="424" t="s">
        <v>452</v>
      </c>
      <c r="I53" s="424"/>
      <c r="J53" s="424"/>
      <c r="K53" s="424"/>
      <c r="L53" s="424"/>
      <c r="M53" s="149"/>
      <c r="N53" s="424" t="s">
        <v>448</v>
      </c>
      <c r="O53" s="424"/>
      <c r="P53" s="424"/>
    </row>
    <row r="54" spans="7:16" ht="16.5" customHeight="1">
      <c r="G54" s="367" t="s">
        <v>105</v>
      </c>
      <c r="H54" s="339" t="s">
        <v>449</v>
      </c>
      <c r="I54" s="374"/>
      <c r="J54" s="374"/>
      <c r="K54" s="374"/>
      <c r="L54" s="374"/>
      <c r="M54" s="374"/>
      <c r="N54" s="374"/>
      <c r="O54" s="374"/>
      <c r="P54" s="340"/>
    </row>
    <row r="55" spans="7:16" ht="15.75">
      <c r="G55" s="429"/>
      <c r="H55" s="347" t="s">
        <v>450</v>
      </c>
      <c r="I55" s="348"/>
      <c r="J55" s="348"/>
      <c r="K55" s="348"/>
      <c r="L55" s="348"/>
      <c r="M55" s="348"/>
      <c r="N55" s="348"/>
      <c r="O55" s="348"/>
      <c r="P55" s="349"/>
    </row>
    <row r="56" spans="7:16" ht="15.75" customHeight="1">
      <c r="G56" s="152" t="s">
        <v>75</v>
      </c>
      <c r="H56" s="424" t="s">
        <v>79</v>
      </c>
      <c r="I56" s="424"/>
      <c r="J56" s="424"/>
      <c r="K56" s="424"/>
      <c r="L56" s="424"/>
      <c r="M56" s="424"/>
      <c r="N56" s="424"/>
      <c r="O56" s="424"/>
      <c r="P56" s="424"/>
    </row>
    <row r="57" spans="7:16" ht="15.75" customHeight="1"/>
    <row r="58" spans="7:16" ht="15.75" customHeight="1"/>
    <row r="59" spans="7:16" ht="15.75" customHeight="1">
      <c r="G59" s="7" t="s">
        <v>451</v>
      </c>
    </row>
    <row r="60" spans="7:16" ht="15.75" customHeight="1"/>
    <row r="61" spans="7:16" ht="15.75" customHeight="1"/>
    <row r="62" spans="7:16" ht="15.75" customHeight="1"/>
    <row r="63" spans="7:16" ht="15.75" customHeight="1"/>
    <row r="64" spans="7:16" ht="15.75" customHeight="1"/>
    <row r="65" ht="15.75" customHeight="1"/>
    <row r="66" ht="15.75" customHeight="1"/>
    <row r="67" ht="15.75" customHeight="1"/>
    <row r="68" ht="15.75" customHeight="1"/>
    <row r="69" ht="15.75" customHeight="1"/>
    <row r="70" ht="15.75" customHeight="1"/>
    <row r="71" ht="51" customHeight="1"/>
    <row r="72" ht="47.25" customHeight="1"/>
    <row r="73" ht="63" customHeight="1"/>
    <row r="89" ht="15.75" customHeight="1"/>
    <row r="101" ht="15.75" customHeight="1"/>
    <row r="111" ht="390.75" customHeight="1"/>
    <row r="115" ht="15.75" customHeight="1"/>
    <row r="116" ht="15.75" customHeight="1"/>
    <row r="117" ht="15.75" customHeight="1"/>
    <row r="119" ht="15.75" customHeight="1"/>
    <row r="120" ht="31.5" customHeight="1"/>
    <row r="121" ht="15.75" customHeight="1"/>
    <row r="122" ht="15.75" customHeight="1"/>
    <row r="123" ht="38.2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21" customHeight="1"/>
    <row r="160" ht="85.5" customHeight="1"/>
    <row r="161" ht="84.75" customHeight="1"/>
    <row r="162" ht="192.75" customHeight="1"/>
    <row r="163" ht="18.75" customHeight="1"/>
    <row r="164" ht="15.75" customHeight="1"/>
  </sheetData>
  <mergeCells count="43">
    <mergeCell ref="G54:G55"/>
    <mergeCell ref="G47:G51"/>
    <mergeCell ref="H47:P47"/>
    <mergeCell ref="H34:L34"/>
    <mergeCell ref="M34:P37"/>
    <mergeCell ref="H35:L35"/>
    <mergeCell ref="H40:P40"/>
    <mergeCell ref="H39:P39"/>
    <mergeCell ref="H48:P48"/>
    <mergeCell ref="H49:M49"/>
    <mergeCell ref="H41:P41"/>
    <mergeCell ref="H42:P42"/>
    <mergeCell ref="H43:P43"/>
    <mergeCell ref="G34:G38"/>
    <mergeCell ref="H50:M50"/>
    <mergeCell ref="H54:P54"/>
    <mergeCell ref="O3:O4"/>
    <mergeCell ref="H36:L36"/>
    <mergeCell ref="H37:L37"/>
    <mergeCell ref="H38:L38"/>
    <mergeCell ref="M38:P38"/>
    <mergeCell ref="L3:L4"/>
    <mergeCell ref="M3:M4"/>
    <mergeCell ref="N3:N4"/>
    <mergeCell ref="G28:P29"/>
    <mergeCell ref="G3:G4"/>
    <mergeCell ref="H3:H4"/>
    <mergeCell ref="I3:I4"/>
    <mergeCell ref="P3:P4"/>
    <mergeCell ref="J3:J4"/>
    <mergeCell ref="K3:K4"/>
    <mergeCell ref="H44:P44"/>
    <mergeCell ref="H31:P31"/>
    <mergeCell ref="H32:P32"/>
    <mergeCell ref="H45:P45"/>
    <mergeCell ref="H46:P46"/>
    <mergeCell ref="H56:P56"/>
    <mergeCell ref="H51:P51"/>
    <mergeCell ref="H52:L52"/>
    <mergeCell ref="N52:P52"/>
    <mergeCell ref="H53:L53"/>
    <mergeCell ref="N53:P53"/>
    <mergeCell ref="H55:P55"/>
  </mergeCells>
  <printOptions horizontalCentered="1"/>
  <pageMargins left="0.39000000000000007" right="0.39000000000000007" top="1.71" bottom="0.98" header="0.51" footer="0.51"/>
  <pageSetup paperSize="9" scale="65" fitToHeight="0" orientation="portrait" r:id="rId1"/>
  <headerFooter>
    <oddHeader>&amp;L&amp;"Garamond Premr Pro,Regular"&amp;20&amp;K001892PRICE LIST 2018&amp;16
&amp;20Navigare Yachting - Turkey&amp;16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rowBreaks count="1" manualBreakCount="1">
    <brk id="56"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0AEE-E1EB-4F79-A224-05223A70815A}">
  <sheetPr>
    <pageSetUpPr fitToPage="1"/>
  </sheetPr>
  <dimension ref="A1:W97"/>
  <sheetViews>
    <sheetView topLeftCell="G1" zoomScaleNormal="100" zoomScaleSheetLayoutView="90" workbookViewId="0">
      <selection activeCell="Z1" sqref="Z1:Z1048576"/>
    </sheetView>
  </sheetViews>
  <sheetFormatPr defaultColWidth="8.625" defaultRowHeight="12.75"/>
  <cols>
    <col min="1" max="2" width="9.875" style="1" hidden="1" customWidth="1"/>
    <col min="3" max="3" width="3.625" style="1" hidden="1" customWidth="1"/>
    <col min="4" max="6" width="4.875" style="1" hidden="1" customWidth="1"/>
    <col min="7" max="7" width="26.875" style="1" customWidth="1"/>
    <col min="8" max="8" width="11.125" style="1" customWidth="1"/>
    <col min="9" max="9" width="9.5" style="1" customWidth="1"/>
    <col min="10" max="10" width="15.875" style="1" customWidth="1"/>
    <col min="11" max="11" width="8.125" style="1" customWidth="1"/>
    <col min="12" max="18" width="11.625" style="1" customWidth="1"/>
    <col min="19" max="19" width="12" style="1" customWidth="1"/>
    <col min="20" max="21" width="11.375" style="1" customWidth="1"/>
    <col min="22" max="16384" width="8.625" style="1"/>
  </cols>
  <sheetData>
    <row r="1" spans="7:23" ht="21">
      <c r="G1" s="9" t="s">
        <v>560</v>
      </c>
      <c r="H1" s="154"/>
      <c r="I1" s="154"/>
      <c r="J1" s="10"/>
      <c r="K1" s="10"/>
      <c r="L1" s="155"/>
      <c r="M1" s="155"/>
      <c r="N1" s="155"/>
      <c r="O1" s="155"/>
      <c r="P1" s="155"/>
      <c r="Q1" s="155"/>
      <c r="R1" s="155"/>
      <c r="S1" s="155"/>
      <c r="T1" s="155"/>
      <c r="U1" s="156"/>
      <c r="V1" s="11"/>
      <c r="W1" s="11"/>
    </row>
    <row r="2" spans="7:23" ht="15.75">
      <c r="G2" s="12" t="s">
        <v>561</v>
      </c>
      <c r="H2" s="157"/>
      <c r="I2" s="157"/>
      <c r="J2" s="12"/>
      <c r="K2" s="12"/>
      <c r="L2" s="158"/>
      <c r="M2" s="158"/>
      <c r="N2" s="158"/>
      <c r="O2" s="158"/>
      <c r="P2" s="158"/>
      <c r="Q2" s="158"/>
      <c r="R2" s="158"/>
      <c r="S2" s="158"/>
      <c r="T2" s="158"/>
      <c r="U2" s="158"/>
      <c r="V2" s="12"/>
      <c r="W2" s="12"/>
    </row>
    <row r="3" spans="7:23" ht="12.75" customHeight="1">
      <c r="G3" s="458" t="s">
        <v>3</v>
      </c>
      <c r="H3" s="446" t="s">
        <v>98</v>
      </c>
      <c r="I3" s="393" t="s">
        <v>146</v>
      </c>
      <c r="J3" s="393" t="s">
        <v>11</v>
      </c>
      <c r="K3" s="393" t="s">
        <v>151</v>
      </c>
      <c r="L3" s="391" t="s">
        <v>590</v>
      </c>
      <c r="M3" s="391" t="s">
        <v>591</v>
      </c>
      <c r="N3" s="391" t="s">
        <v>592</v>
      </c>
      <c r="O3" s="391" t="s">
        <v>593</v>
      </c>
      <c r="P3" s="391" t="s">
        <v>594</v>
      </c>
      <c r="Q3" s="391" t="s">
        <v>595</v>
      </c>
      <c r="R3" s="391" t="s">
        <v>596</v>
      </c>
      <c r="S3" s="391" t="s">
        <v>597</v>
      </c>
      <c r="T3" s="391" t="s">
        <v>598</v>
      </c>
      <c r="U3" s="391" t="s">
        <v>599</v>
      </c>
      <c r="V3" s="391" t="s">
        <v>600</v>
      </c>
      <c r="W3" s="446" t="s">
        <v>99</v>
      </c>
    </row>
    <row r="4" spans="7:23" ht="17.25" customHeight="1">
      <c r="G4" s="459"/>
      <c r="H4" s="447"/>
      <c r="I4" s="395"/>
      <c r="J4" s="395"/>
      <c r="K4" s="395"/>
      <c r="L4" s="392"/>
      <c r="M4" s="392"/>
      <c r="N4" s="392"/>
      <c r="O4" s="392"/>
      <c r="P4" s="392"/>
      <c r="Q4" s="392"/>
      <c r="R4" s="392"/>
      <c r="S4" s="392"/>
      <c r="T4" s="392"/>
      <c r="U4" s="392"/>
      <c r="V4" s="392"/>
      <c r="W4" s="447"/>
    </row>
    <row r="5" spans="7:23" ht="15.75">
      <c r="G5" s="450" t="s">
        <v>4</v>
      </c>
      <c r="H5" s="545"/>
      <c r="I5" s="167"/>
      <c r="J5" s="168"/>
      <c r="K5" s="168"/>
      <c r="L5" s="267"/>
      <c r="M5" s="267"/>
      <c r="N5" s="267"/>
      <c r="O5" s="267"/>
      <c r="P5" s="267"/>
      <c r="Q5" s="267"/>
      <c r="R5" s="267"/>
      <c r="S5" s="267"/>
      <c r="T5" s="267"/>
      <c r="U5" s="267"/>
      <c r="V5" s="30"/>
      <c r="W5" s="170"/>
    </row>
    <row r="6" spans="7:23" ht="15.75">
      <c r="G6" s="171" t="s">
        <v>63</v>
      </c>
      <c r="H6" s="172"/>
      <c r="I6" s="172"/>
      <c r="J6" s="172"/>
      <c r="K6" s="172"/>
      <c r="L6" s="268"/>
      <c r="M6" s="268"/>
      <c r="N6" s="268"/>
      <c r="O6" s="268"/>
      <c r="P6" s="268"/>
      <c r="Q6" s="268"/>
      <c r="R6" s="268"/>
      <c r="S6" s="268"/>
      <c r="T6" s="268"/>
      <c r="U6" s="268"/>
      <c r="V6" s="30"/>
      <c r="W6" s="30"/>
    </row>
    <row r="7" spans="7:23" ht="15.75">
      <c r="G7" s="274" t="s">
        <v>602</v>
      </c>
      <c r="H7" s="275">
        <v>2018</v>
      </c>
      <c r="I7" s="57">
        <v>5</v>
      </c>
      <c r="J7" s="258" t="s">
        <v>563</v>
      </c>
      <c r="K7" s="57">
        <v>12</v>
      </c>
      <c r="L7" s="16">
        <v>4610</v>
      </c>
      <c r="M7" s="17">
        <v>5610</v>
      </c>
      <c r="N7" s="16">
        <v>5610</v>
      </c>
      <c r="O7" s="17">
        <v>6280</v>
      </c>
      <c r="P7" s="16">
        <v>6280</v>
      </c>
      <c r="Q7" s="17">
        <v>7670</v>
      </c>
      <c r="R7" s="16">
        <v>6450</v>
      </c>
      <c r="S7" s="17">
        <v>5610</v>
      </c>
      <c r="T7" s="16">
        <v>4830</v>
      </c>
      <c r="U7" s="17">
        <v>4610</v>
      </c>
      <c r="V7" s="16">
        <v>4100</v>
      </c>
      <c r="W7" s="166">
        <v>3500</v>
      </c>
    </row>
    <row r="8" spans="7:23" ht="15.75">
      <c r="G8" s="15" t="s">
        <v>564</v>
      </c>
      <c r="H8" s="32">
        <v>2017</v>
      </c>
      <c r="I8" s="57">
        <v>5</v>
      </c>
      <c r="J8" s="258" t="s">
        <v>563</v>
      </c>
      <c r="K8" s="57">
        <v>12</v>
      </c>
      <c r="L8" s="16">
        <v>4390</v>
      </c>
      <c r="M8" s="17">
        <v>5340</v>
      </c>
      <c r="N8" s="16">
        <v>5340</v>
      </c>
      <c r="O8" s="17">
        <v>5980</v>
      </c>
      <c r="P8" s="16">
        <v>5980</v>
      </c>
      <c r="Q8" s="17">
        <v>7300</v>
      </c>
      <c r="R8" s="16">
        <v>6140</v>
      </c>
      <c r="S8" s="17">
        <v>5340</v>
      </c>
      <c r="T8" s="16">
        <v>4600</v>
      </c>
      <c r="U8" s="17">
        <v>4390</v>
      </c>
      <c r="V8" s="16">
        <v>3900</v>
      </c>
      <c r="W8" s="166">
        <v>3500</v>
      </c>
    </row>
    <row r="9" spans="7:23" ht="15.75">
      <c r="G9" s="15" t="s">
        <v>564</v>
      </c>
      <c r="H9" s="32">
        <v>2016</v>
      </c>
      <c r="I9" s="57">
        <v>5</v>
      </c>
      <c r="J9" s="258" t="s">
        <v>563</v>
      </c>
      <c r="K9" s="57">
        <v>12</v>
      </c>
      <c r="L9" s="16">
        <v>4290</v>
      </c>
      <c r="M9" s="17">
        <v>5240</v>
      </c>
      <c r="N9" s="16">
        <v>5240</v>
      </c>
      <c r="O9" s="17">
        <v>5880</v>
      </c>
      <c r="P9" s="16">
        <v>5880</v>
      </c>
      <c r="Q9" s="17">
        <v>7200</v>
      </c>
      <c r="R9" s="16">
        <v>6040</v>
      </c>
      <c r="S9" s="17">
        <v>5240</v>
      </c>
      <c r="T9" s="16">
        <v>4500</v>
      </c>
      <c r="U9" s="17">
        <v>4290</v>
      </c>
      <c r="V9" s="16">
        <v>3800</v>
      </c>
      <c r="W9" s="166">
        <v>3500</v>
      </c>
    </row>
    <row r="10" spans="7:23" ht="15.75">
      <c r="G10" s="177" t="s">
        <v>5</v>
      </c>
      <c r="H10" s="20"/>
      <c r="I10" s="20"/>
      <c r="J10" s="20"/>
      <c r="K10" s="20"/>
      <c r="L10" s="178"/>
      <c r="M10" s="178"/>
      <c r="N10" s="162"/>
      <c r="O10" s="162"/>
      <c r="P10" s="178"/>
      <c r="Q10" s="178"/>
      <c r="R10" s="178"/>
      <c r="S10" s="178"/>
      <c r="T10" s="178"/>
      <c r="U10" s="178"/>
      <c r="V10" s="20"/>
      <c r="W10" s="20"/>
    </row>
    <row r="11" spans="7:23" ht="15.75">
      <c r="G11" s="21" t="s">
        <v>565</v>
      </c>
      <c r="H11" s="174" t="s">
        <v>566</v>
      </c>
      <c r="I11" s="175" t="s">
        <v>156</v>
      </c>
      <c r="J11" s="31">
        <v>8</v>
      </c>
      <c r="K11" s="165">
        <v>8</v>
      </c>
      <c r="L11" s="16">
        <v>2100</v>
      </c>
      <c r="M11" s="17">
        <v>2500</v>
      </c>
      <c r="N11" s="16">
        <v>2500</v>
      </c>
      <c r="O11" s="17">
        <v>2900</v>
      </c>
      <c r="P11" s="16">
        <v>2900</v>
      </c>
      <c r="Q11" s="17">
        <v>3500</v>
      </c>
      <c r="R11" s="16">
        <v>3100</v>
      </c>
      <c r="S11" s="17">
        <v>2900</v>
      </c>
      <c r="T11" s="16">
        <v>2900</v>
      </c>
      <c r="U11" s="17">
        <v>2500</v>
      </c>
      <c r="V11" s="16">
        <v>2100</v>
      </c>
      <c r="W11" s="166">
        <v>2500</v>
      </c>
    </row>
    <row r="12" spans="7:23" ht="15.75">
      <c r="G12" s="34" t="s">
        <v>1</v>
      </c>
      <c r="H12" s="172"/>
      <c r="I12" s="172"/>
      <c r="J12" s="172"/>
      <c r="K12" s="172"/>
      <c r="L12" s="182"/>
      <c r="M12" s="182"/>
      <c r="N12" s="182"/>
      <c r="O12" s="182"/>
      <c r="P12" s="182"/>
      <c r="Q12" s="182"/>
      <c r="R12" s="182"/>
      <c r="S12" s="182"/>
      <c r="T12" s="182"/>
      <c r="U12" s="182"/>
      <c r="V12" s="30"/>
      <c r="W12" s="30"/>
    </row>
    <row r="13" spans="7:23" ht="15.75">
      <c r="G13" s="265" t="s">
        <v>603</v>
      </c>
      <c r="H13" s="276" t="s">
        <v>296</v>
      </c>
      <c r="I13" s="175" t="s">
        <v>343</v>
      </c>
      <c r="J13" s="31">
        <v>6</v>
      </c>
      <c r="K13" s="165">
        <v>6</v>
      </c>
      <c r="L13" s="16">
        <v>2120</v>
      </c>
      <c r="M13" s="17">
        <v>2430</v>
      </c>
      <c r="N13" s="16">
        <v>2700</v>
      </c>
      <c r="O13" s="17">
        <v>3010</v>
      </c>
      <c r="P13" s="16">
        <v>3490</v>
      </c>
      <c r="Q13" s="17">
        <v>4530</v>
      </c>
      <c r="R13" s="16">
        <v>3640</v>
      </c>
      <c r="S13" s="17">
        <v>2710</v>
      </c>
      <c r="T13" s="16">
        <v>2700</v>
      </c>
      <c r="U13" s="17">
        <v>2430</v>
      </c>
      <c r="V13" s="16">
        <v>2120</v>
      </c>
      <c r="W13" s="166">
        <v>2800</v>
      </c>
    </row>
    <row r="14" spans="7:23" ht="15.75">
      <c r="G14" s="21" t="s">
        <v>567</v>
      </c>
      <c r="H14" s="174" t="s">
        <v>341</v>
      </c>
      <c r="I14" s="175" t="s">
        <v>343</v>
      </c>
      <c r="J14" s="31" t="s">
        <v>159</v>
      </c>
      <c r="K14" s="165">
        <v>8</v>
      </c>
      <c r="L14" s="16">
        <v>1600</v>
      </c>
      <c r="M14" s="17">
        <v>1900</v>
      </c>
      <c r="N14" s="16">
        <v>2150</v>
      </c>
      <c r="O14" s="17">
        <v>2450</v>
      </c>
      <c r="P14" s="16">
        <v>2900</v>
      </c>
      <c r="Q14" s="17">
        <v>3900</v>
      </c>
      <c r="R14" s="16">
        <v>3043</v>
      </c>
      <c r="S14" s="17">
        <v>2163</v>
      </c>
      <c r="T14" s="16">
        <v>2150</v>
      </c>
      <c r="U14" s="17">
        <v>1900</v>
      </c>
      <c r="V14" s="16">
        <v>1600</v>
      </c>
      <c r="W14" s="166">
        <v>2800</v>
      </c>
    </row>
    <row r="15" spans="7:23" ht="15.75">
      <c r="G15" s="546"/>
      <c r="H15" s="546"/>
      <c r="I15" s="546"/>
      <c r="J15" s="546"/>
      <c r="K15" s="546"/>
      <c r="L15" s="546"/>
      <c r="M15" s="546"/>
      <c r="N15" s="183"/>
      <c r="O15" s="183"/>
      <c r="P15" s="183"/>
      <c r="Q15" s="183"/>
      <c r="R15" s="183"/>
      <c r="S15" s="184"/>
      <c r="T15" s="158"/>
      <c r="U15" s="158"/>
      <c r="V15" s="12"/>
      <c r="W15" s="12"/>
    </row>
    <row r="16" spans="7:23" ht="21">
      <c r="G16" s="257" t="s">
        <v>604</v>
      </c>
      <c r="H16" s="272"/>
      <c r="I16" s="272"/>
      <c r="J16" s="72"/>
      <c r="K16" s="72"/>
      <c r="L16" s="273"/>
      <c r="M16" s="273"/>
      <c r="N16" s="155"/>
      <c r="O16" s="155"/>
      <c r="P16" s="155"/>
      <c r="Q16" s="155"/>
      <c r="R16" s="155"/>
      <c r="S16" s="155"/>
      <c r="T16" s="155"/>
      <c r="U16" s="156"/>
      <c r="V16" s="11"/>
      <c r="W16" s="11"/>
    </row>
    <row r="17" spans="7:23" ht="15.75">
      <c r="G17" s="12" t="s">
        <v>561</v>
      </c>
      <c r="H17" s="157"/>
      <c r="I17" s="157"/>
      <c r="J17" s="12"/>
      <c r="K17" s="12"/>
      <c r="L17" s="158"/>
      <c r="M17" s="158"/>
      <c r="N17" s="158"/>
      <c r="O17" s="158"/>
      <c r="P17" s="158"/>
      <c r="Q17" s="158"/>
      <c r="R17" s="158"/>
      <c r="S17" s="158"/>
      <c r="T17" s="158"/>
      <c r="U17" s="158"/>
      <c r="V17" s="12"/>
      <c r="W17" s="12"/>
    </row>
    <row r="18" spans="7:23" ht="15.75" customHeight="1">
      <c r="G18" s="458" t="s">
        <v>3</v>
      </c>
      <c r="H18" s="446" t="s">
        <v>98</v>
      </c>
      <c r="I18" s="393" t="s">
        <v>146</v>
      </c>
      <c r="J18" s="393" t="s">
        <v>11</v>
      </c>
      <c r="K18" s="393" t="s">
        <v>151</v>
      </c>
      <c r="L18" s="391" t="s">
        <v>590</v>
      </c>
      <c r="M18" s="391" t="s">
        <v>591</v>
      </c>
      <c r="N18" s="391" t="s">
        <v>592</v>
      </c>
      <c r="O18" s="391" t="s">
        <v>593</v>
      </c>
      <c r="P18" s="391" t="s">
        <v>594</v>
      </c>
      <c r="Q18" s="391" t="s">
        <v>595</v>
      </c>
      <c r="R18" s="391" t="s">
        <v>596</v>
      </c>
      <c r="S18" s="391" t="s">
        <v>597</v>
      </c>
      <c r="T18" s="391" t="s">
        <v>598</v>
      </c>
      <c r="U18" s="391" t="s">
        <v>599</v>
      </c>
      <c r="V18" s="391" t="s">
        <v>600</v>
      </c>
      <c r="W18" s="446" t="s">
        <v>99</v>
      </c>
    </row>
    <row r="19" spans="7:23" ht="12.75" customHeight="1">
      <c r="G19" s="459"/>
      <c r="H19" s="447"/>
      <c r="I19" s="395"/>
      <c r="J19" s="395"/>
      <c r="K19" s="395"/>
      <c r="L19" s="392"/>
      <c r="M19" s="392"/>
      <c r="N19" s="392"/>
      <c r="O19" s="392"/>
      <c r="P19" s="392"/>
      <c r="Q19" s="392"/>
      <c r="R19" s="392"/>
      <c r="S19" s="392"/>
      <c r="T19" s="392"/>
      <c r="U19" s="392"/>
      <c r="V19" s="392"/>
      <c r="W19" s="447"/>
    </row>
    <row r="20" spans="7:23" ht="15.75">
      <c r="G20" s="450" t="s">
        <v>4</v>
      </c>
      <c r="H20" s="451"/>
      <c r="I20" s="167"/>
      <c r="J20" s="168"/>
      <c r="K20" s="168"/>
      <c r="L20" s="169"/>
      <c r="M20" s="169"/>
      <c r="N20" s="169"/>
      <c r="O20" s="169"/>
      <c r="P20" s="169"/>
      <c r="Q20" s="169"/>
      <c r="R20" s="169"/>
      <c r="S20" s="169"/>
      <c r="T20" s="169"/>
      <c r="U20" s="169"/>
      <c r="V20" s="30"/>
      <c r="W20" s="170"/>
    </row>
    <row r="21" spans="7:23" ht="15.75">
      <c r="G21" s="171" t="s">
        <v>63</v>
      </c>
      <c r="H21" s="172"/>
      <c r="I21" s="172"/>
      <c r="J21" s="172"/>
      <c r="K21" s="172"/>
      <c r="L21" s="173"/>
      <c r="M21" s="173"/>
      <c r="N21" s="173"/>
      <c r="O21" s="173"/>
      <c r="P21" s="173"/>
      <c r="Q21" s="173"/>
      <c r="R21" s="173"/>
      <c r="S21" s="173"/>
      <c r="T21" s="173"/>
      <c r="U21" s="173"/>
      <c r="V21" s="30"/>
      <c r="W21" s="30"/>
    </row>
    <row r="22" spans="7:23" ht="15.75">
      <c r="G22" s="274" t="s">
        <v>605</v>
      </c>
      <c r="H22" s="266" t="s">
        <v>296</v>
      </c>
      <c r="I22" s="57">
        <v>5</v>
      </c>
      <c r="J22" s="258" t="s">
        <v>563</v>
      </c>
      <c r="K22" s="57">
        <v>12</v>
      </c>
      <c r="L22" s="16">
        <v>4710</v>
      </c>
      <c r="M22" s="17">
        <v>5710</v>
      </c>
      <c r="N22" s="16">
        <v>5710</v>
      </c>
      <c r="O22" s="17">
        <v>6380</v>
      </c>
      <c r="P22" s="16">
        <v>6380</v>
      </c>
      <c r="Q22" s="17">
        <v>7770</v>
      </c>
      <c r="R22" s="16">
        <v>6560</v>
      </c>
      <c r="S22" s="17">
        <v>5710</v>
      </c>
      <c r="T22" s="16">
        <v>4940</v>
      </c>
      <c r="U22" s="17">
        <v>4710</v>
      </c>
      <c r="V22" s="16">
        <v>4200</v>
      </c>
      <c r="W22" s="166">
        <v>3500</v>
      </c>
    </row>
    <row r="23" spans="7:23" ht="15.75">
      <c r="G23" s="274" t="s">
        <v>601</v>
      </c>
      <c r="H23" s="275">
        <v>2018</v>
      </c>
      <c r="I23" s="57">
        <v>5</v>
      </c>
      <c r="J23" s="258" t="s">
        <v>563</v>
      </c>
      <c r="K23" s="57">
        <v>12</v>
      </c>
      <c r="L23" s="16">
        <v>4610</v>
      </c>
      <c r="M23" s="17">
        <v>5610</v>
      </c>
      <c r="N23" s="16">
        <v>5610</v>
      </c>
      <c r="O23" s="17">
        <v>6280</v>
      </c>
      <c r="P23" s="16">
        <v>6280</v>
      </c>
      <c r="Q23" s="17">
        <v>7670</v>
      </c>
      <c r="R23" s="16">
        <v>6450</v>
      </c>
      <c r="S23" s="17">
        <v>5610</v>
      </c>
      <c r="T23" s="16">
        <v>4830</v>
      </c>
      <c r="U23" s="17">
        <v>4610</v>
      </c>
      <c r="V23" s="16">
        <v>4100</v>
      </c>
      <c r="W23" s="166">
        <v>3500</v>
      </c>
    </row>
    <row r="24" spans="7:23" ht="15.75">
      <c r="G24" s="15" t="s">
        <v>562</v>
      </c>
      <c r="H24" s="58" t="s">
        <v>337</v>
      </c>
      <c r="I24" s="57">
        <v>5</v>
      </c>
      <c r="J24" s="258" t="s">
        <v>563</v>
      </c>
      <c r="K24" s="57">
        <v>12</v>
      </c>
      <c r="L24" s="16">
        <v>4490</v>
      </c>
      <c r="M24" s="17">
        <v>5440</v>
      </c>
      <c r="N24" s="16">
        <v>5440</v>
      </c>
      <c r="O24" s="17">
        <v>6079</v>
      </c>
      <c r="P24" s="16">
        <v>6079</v>
      </c>
      <c r="Q24" s="17">
        <v>7400</v>
      </c>
      <c r="R24" s="16">
        <v>6240</v>
      </c>
      <c r="S24" s="17">
        <v>5440</v>
      </c>
      <c r="T24" s="16">
        <v>4700</v>
      </c>
      <c r="U24" s="17">
        <v>4490</v>
      </c>
      <c r="V24" s="16">
        <v>4000</v>
      </c>
      <c r="W24" s="166">
        <v>3500</v>
      </c>
    </row>
    <row r="25" spans="7:23" ht="15.75">
      <c r="G25" s="15" t="s">
        <v>564</v>
      </c>
      <c r="H25" s="32">
        <v>2017</v>
      </c>
      <c r="I25" s="57">
        <v>5</v>
      </c>
      <c r="J25" s="258" t="s">
        <v>563</v>
      </c>
      <c r="K25" s="57">
        <v>12</v>
      </c>
      <c r="L25" s="16">
        <v>4390</v>
      </c>
      <c r="M25" s="17">
        <v>5340</v>
      </c>
      <c r="N25" s="16">
        <v>5340</v>
      </c>
      <c r="O25" s="17">
        <v>5980</v>
      </c>
      <c r="P25" s="16">
        <v>5980</v>
      </c>
      <c r="Q25" s="17">
        <v>7300</v>
      </c>
      <c r="R25" s="16">
        <v>6140</v>
      </c>
      <c r="S25" s="17">
        <v>5340</v>
      </c>
      <c r="T25" s="16">
        <v>4600</v>
      </c>
      <c r="U25" s="17">
        <v>4390</v>
      </c>
      <c r="V25" s="16">
        <v>3900</v>
      </c>
      <c r="W25" s="166">
        <v>3500</v>
      </c>
    </row>
    <row r="26" spans="7:23" ht="15.75">
      <c r="G26" s="177" t="s">
        <v>5</v>
      </c>
      <c r="H26" s="20"/>
      <c r="I26" s="20"/>
      <c r="J26" s="20"/>
      <c r="K26" s="20"/>
      <c r="L26" s="178"/>
      <c r="M26" s="178"/>
      <c r="N26" s="162"/>
      <c r="O26" s="162"/>
      <c r="P26" s="178"/>
      <c r="Q26" s="178"/>
      <c r="R26" s="178"/>
      <c r="S26" s="178"/>
      <c r="T26" s="178"/>
      <c r="U26" s="178"/>
      <c r="V26" s="20"/>
      <c r="W26" s="20"/>
    </row>
    <row r="27" spans="7:23" ht="15.75">
      <c r="G27" s="21" t="s">
        <v>339</v>
      </c>
      <c r="H27" s="180">
        <v>2017</v>
      </c>
      <c r="I27" s="181">
        <v>4</v>
      </c>
      <c r="J27" s="31" t="s">
        <v>157</v>
      </c>
      <c r="K27" s="179">
        <v>10</v>
      </c>
      <c r="L27" s="269">
        <v>3380</v>
      </c>
      <c r="M27" s="176">
        <v>3480</v>
      </c>
      <c r="N27" s="16">
        <v>3980</v>
      </c>
      <c r="O27" s="176">
        <v>4280</v>
      </c>
      <c r="P27" s="16">
        <v>4780</v>
      </c>
      <c r="Q27" s="176">
        <v>6080</v>
      </c>
      <c r="R27" s="269">
        <v>4780</v>
      </c>
      <c r="S27" s="176">
        <v>4080</v>
      </c>
      <c r="T27" s="16">
        <v>3580</v>
      </c>
      <c r="U27" s="176">
        <v>3480</v>
      </c>
      <c r="V27" s="269">
        <v>3380</v>
      </c>
      <c r="W27" s="166">
        <v>3500</v>
      </c>
    </row>
    <row r="28" spans="7:23" ht="15.75">
      <c r="G28" s="21" t="s">
        <v>7</v>
      </c>
      <c r="H28" s="180">
        <v>2011</v>
      </c>
      <c r="I28" s="181">
        <v>4</v>
      </c>
      <c r="J28" s="31" t="s">
        <v>157</v>
      </c>
      <c r="K28" s="165">
        <v>10</v>
      </c>
      <c r="L28" s="16">
        <v>2800</v>
      </c>
      <c r="M28" s="17">
        <v>2900</v>
      </c>
      <c r="N28" s="16">
        <v>3500</v>
      </c>
      <c r="O28" s="17">
        <v>3700</v>
      </c>
      <c r="P28" s="16">
        <v>4200</v>
      </c>
      <c r="Q28" s="17">
        <v>5500</v>
      </c>
      <c r="R28" s="16">
        <v>4200</v>
      </c>
      <c r="S28" s="17">
        <v>3500</v>
      </c>
      <c r="T28" s="16">
        <v>3000</v>
      </c>
      <c r="U28" s="17">
        <v>2900</v>
      </c>
      <c r="V28" s="16">
        <v>2800</v>
      </c>
      <c r="W28" s="166">
        <v>3500</v>
      </c>
    </row>
    <row r="29" spans="7:23" ht="15.75">
      <c r="G29" s="34" t="s">
        <v>1</v>
      </c>
      <c r="H29" s="172"/>
      <c r="I29" s="172"/>
      <c r="J29" s="172"/>
      <c r="K29" s="172"/>
      <c r="L29" s="182"/>
      <c r="M29" s="182"/>
      <c r="N29" s="182"/>
      <c r="O29" s="182"/>
      <c r="P29" s="182"/>
      <c r="Q29" s="182"/>
      <c r="R29" s="182"/>
      <c r="S29" s="182"/>
      <c r="T29" s="182"/>
      <c r="U29" s="182"/>
      <c r="V29" s="30"/>
      <c r="W29" s="30"/>
    </row>
    <row r="30" spans="7:23" ht="15" customHeight="1">
      <c r="G30" s="21" t="s">
        <v>568</v>
      </c>
      <c r="H30" s="174" t="s">
        <v>569</v>
      </c>
      <c r="I30" s="175" t="s">
        <v>343</v>
      </c>
      <c r="J30" s="31" t="s">
        <v>159</v>
      </c>
      <c r="K30" s="165">
        <v>8</v>
      </c>
      <c r="L30" s="16">
        <v>1600</v>
      </c>
      <c r="M30" s="17">
        <v>1900</v>
      </c>
      <c r="N30" s="16">
        <v>2150</v>
      </c>
      <c r="O30" s="17">
        <v>2450</v>
      </c>
      <c r="P30" s="16">
        <v>2900</v>
      </c>
      <c r="Q30" s="17">
        <v>3900</v>
      </c>
      <c r="R30" s="16">
        <v>3043</v>
      </c>
      <c r="S30" s="17">
        <v>2163</v>
      </c>
      <c r="T30" s="16">
        <v>2150</v>
      </c>
      <c r="U30" s="17">
        <v>1900</v>
      </c>
      <c r="V30" s="16">
        <v>1600</v>
      </c>
      <c r="W30" s="166">
        <v>3500</v>
      </c>
    </row>
    <row r="31" spans="7:23" ht="15.75">
      <c r="G31" s="21" t="s">
        <v>570</v>
      </c>
      <c r="H31" s="174" t="s">
        <v>337</v>
      </c>
      <c r="I31" s="175" t="s">
        <v>343</v>
      </c>
      <c r="J31" s="31">
        <v>6</v>
      </c>
      <c r="K31" s="165">
        <v>6</v>
      </c>
      <c r="L31" s="16">
        <v>2018</v>
      </c>
      <c r="M31" s="17">
        <v>2318</v>
      </c>
      <c r="N31" s="16">
        <v>2568</v>
      </c>
      <c r="O31" s="17">
        <v>2868</v>
      </c>
      <c r="P31" s="16">
        <v>3318</v>
      </c>
      <c r="Q31" s="17">
        <v>4318</v>
      </c>
      <c r="R31" s="16">
        <v>3461</v>
      </c>
      <c r="S31" s="17">
        <v>2581</v>
      </c>
      <c r="T31" s="16">
        <v>2568</v>
      </c>
      <c r="U31" s="17">
        <v>2318</v>
      </c>
      <c r="V31" s="16">
        <v>2018</v>
      </c>
      <c r="W31" s="166">
        <v>2800</v>
      </c>
    </row>
    <row r="32" spans="7:23" ht="15.75">
      <c r="G32" s="21" t="s">
        <v>567</v>
      </c>
      <c r="H32" s="174" t="s">
        <v>341</v>
      </c>
      <c r="I32" s="175" t="s">
        <v>343</v>
      </c>
      <c r="J32" s="31" t="s">
        <v>159</v>
      </c>
      <c r="K32" s="165">
        <v>8</v>
      </c>
      <c r="L32" s="16">
        <v>1600</v>
      </c>
      <c r="M32" s="17">
        <v>1900</v>
      </c>
      <c r="N32" s="16">
        <v>2150</v>
      </c>
      <c r="O32" s="17">
        <v>2450</v>
      </c>
      <c r="P32" s="16">
        <v>2900</v>
      </c>
      <c r="Q32" s="17">
        <v>3900</v>
      </c>
      <c r="R32" s="16">
        <v>3050</v>
      </c>
      <c r="S32" s="17">
        <v>2170</v>
      </c>
      <c r="T32" s="16">
        <v>2150</v>
      </c>
      <c r="U32" s="17">
        <v>1900</v>
      </c>
      <c r="V32" s="16">
        <v>1600</v>
      </c>
      <c r="W32" s="166">
        <v>2800</v>
      </c>
    </row>
    <row r="33" spans="7:23" ht="15.75">
      <c r="G33" s="12"/>
      <c r="H33" s="157"/>
      <c r="I33" s="157"/>
      <c r="J33" s="12"/>
      <c r="K33" s="12"/>
      <c r="L33" s="158"/>
      <c r="M33" s="158"/>
      <c r="N33" s="158"/>
      <c r="O33" s="158"/>
      <c r="P33" s="158"/>
      <c r="Q33" s="158"/>
      <c r="R33" s="158"/>
      <c r="S33" s="158"/>
      <c r="T33" s="158"/>
      <c r="U33" s="158"/>
      <c r="V33" s="12"/>
      <c r="W33" s="12"/>
    </row>
    <row r="34" spans="7:23" ht="21">
      <c r="G34" s="9" t="s">
        <v>588</v>
      </c>
      <c r="H34" s="272"/>
      <c r="I34" s="272"/>
      <c r="J34" s="72"/>
      <c r="K34" s="72"/>
      <c r="L34" s="273"/>
      <c r="M34" s="273"/>
      <c r="N34" s="155"/>
      <c r="O34" s="155"/>
      <c r="P34" s="155"/>
      <c r="Q34" s="155"/>
      <c r="R34" s="155"/>
      <c r="S34" s="155"/>
      <c r="T34" s="155"/>
      <c r="U34" s="156"/>
      <c r="V34" s="11"/>
      <c r="W34" s="11"/>
    </row>
    <row r="35" spans="7:23" ht="15.75">
      <c r="G35" s="12" t="s">
        <v>561</v>
      </c>
      <c r="H35" s="157"/>
      <c r="I35" s="157"/>
      <c r="J35" s="12"/>
      <c r="K35" s="12"/>
      <c r="L35" s="158"/>
      <c r="M35" s="158"/>
      <c r="N35" s="158"/>
      <c r="O35" s="158"/>
      <c r="P35" s="158"/>
      <c r="Q35" s="158"/>
      <c r="R35" s="158"/>
      <c r="S35" s="158"/>
      <c r="T35" s="158"/>
      <c r="U35" s="158"/>
      <c r="V35" s="12"/>
      <c r="W35" s="12"/>
    </row>
    <row r="36" spans="7:23" ht="12.75" customHeight="1">
      <c r="G36" s="458" t="s">
        <v>3</v>
      </c>
      <c r="H36" s="446" t="s">
        <v>98</v>
      </c>
      <c r="I36" s="393" t="s">
        <v>146</v>
      </c>
      <c r="J36" s="393" t="s">
        <v>11</v>
      </c>
      <c r="K36" s="393" t="s">
        <v>151</v>
      </c>
      <c r="L36" s="391" t="s">
        <v>590</v>
      </c>
      <c r="M36" s="391" t="s">
        <v>591</v>
      </c>
      <c r="N36" s="391" t="s">
        <v>592</v>
      </c>
      <c r="O36" s="391" t="s">
        <v>593</v>
      </c>
      <c r="P36" s="391" t="s">
        <v>594</v>
      </c>
      <c r="Q36" s="391" t="s">
        <v>595</v>
      </c>
      <c r="R36" s="391" t="s">
        <v>596</v>
      </c>
      <c r="S36" s="391" t="s">
        <v>597</v>
      </c>
      <c r="T36" s="391" t="s">
        <v>598</v>
      </c>
      <c r="U36" s="391" t="s">
        <v>599</v>
      </c>
      <c r="V36" s="391" t="s">
        <v>600</v>
      </c>
      <c r="W36" s="446" t="s">
        <v>99</v>
      </c>
    </row>
    <row r="37" spans="7:23" ht="18" customHeight="1">
      <c r="G37" s="459"/>
      <c r="H37" s="447"/>
      <c r="I37" s="395"/>
      <c r="J37" s="395"/>
      <c r="K37" s="395"/>
      <c r="L37" s="392"/>
      <c r="M37" s="392"/>
      <c r="N37" s="392"/>
      <c r="O37" s="392"/>
      <c r="P37" s="392"/>
      <c r="Q37" s="392"/>
      <c r="R37" s="392"/>
      <c r="S37" s="392"/>
      <c r="T37" s="392"/>
      <c r="U37" s="392"/>
      <c r="V37" s="392"/>
      <c r="W37" s="447"/>
    </row>
    <row r="38" spans="7:23" ht="15.75">
      <c r="G38" s="450" t="s">
        <v>4</v>
      </c>
      <c r="H38" s="451"/>
      <c r="I38" s="167"/>
      <c r="J38" s="168"/>
      <c r="K38" s="168"/>
      <c r="L38" s="169"/>
      <c r="M38" s="169"/>
      <c r="N38" s="169"/>
      <c r="O38" s="169"/>
      <c r="P38" s="169"/>
      <c r="Q38" s="169"/>
      <c r="R38" s="169"/>
      <c r="S38" s="169"/>
      <c r="T38" s="169"/>
      <c r="U38" s="169"/>
      <c r="V38" s="30"/>
      <c r="W38" s="170"/>
    </row>
    <row r="39" spans="7:23" ht="15.75">
      <c r="G39" s="171" t="s">
        <v>63</v>
      </c>
      <c r="H39" s="172"/>
      <c r="I39" s="172"/>
      <c r="J39" s="172"/>
      <c r="K39" s="172"/>
      <c r="L39" s="173"/>
      <c r="M39" s="173"/>
      <c r="N39" s="173"/>
      <c r="O39" s="173"/>
      <c r="P39" s="173"/>
      <c r="Q39" s="173"/>
      <c r="R39" s="173"/>
      <c r="S39" s="173"/>
      <c r="T39" s="173"/>
      <c r="U39" s="173"/>
      <c r="V39" s="30"/>
      <c r="W39" s="30"/>
    </row>
    <row r="40" spans="7:23" ht="15.75">
      <c r="G40" s="15" t="s">
        <v>564</v>
      </c>
      <c r="H40" s="32">
        <v>2017</v>
      </c>
      <c r="I40" s="57">
        <v>5</v>
      </c>
      <c r="J40" s="258" t="s">
        <v>563</v>
      </c>
      <c r="K40" s="57">
        <v>12</v>
      </c>
      <c r="L40" s="16">
        <v>4390</v>
      </c>
      <c r="M40" s="17">
        <v>5340</v>
      </c>
      <c r="N40" s="16">
        <v>5340</v>
      </c>
      <c r="O40" s="17">
        <v>5980</v>
      </c>
      <c r="P40" s="16">
        <v>5980</v>
      </c>
      <c r="Q40" s="17">
        <v>7300</v>
      </c>
      <c r="R40" s="16">
        <v>6140</v>
      </c>
      <c r="S40" s="17">
        <v>5340</v>
      </c>
      <c r="T40" s="16">
        <v>4600</v>
      </c>
      <c r="U40" s="17">
        <v>4390</v>
      </c>
      <c r="V40" s="16">
        <v>3900</v>
      </c>
      <c r="W40" s="166">
        <v>3500</v>
      </c>
    </row>
    <row r="41" spans="7:23" ht="15.75">
      <c r="G41" s="15" t="s">
        <v>564</v>
      </c>
      <c r="H41" s="32">
        <v>2014</v>
      </c>
      <c r="I41" s="57">
        <v>5</v>
      </c>
      <c r="J41" s="258" t="s">
        <v>563</v>
      </c>
      <c r="K41" s="57">
        <v>12</v>
      </c>
      <c r="L41" s="16">
        <v>3990</v>
      </c>
      <c r="M41" s="17">
        <v>4940</v>
      </c>
      <c r="N41" s="16">
        <v>4940</v>
      </c>
      <c r="O41" s="17">
        <v>5580</v>
      </c>
      <c r="P41" s="16">
        <v>5580</v>
      </c>
      <c r="Q41" s="17">
        <v>6900</v>
      </c>
      <c r="R41" s="16">
        <v>5740</v>
      </c>
      <c r="S41" s="17">
        <v>4940</v>
      </c>
      <c r="T41" s="16">
        <v>4200</v>
      </c>
      <c r="U41" s="17">
        <v>3990</v>
      </c>
      <c r="V41" s="16">
        <v>3800</v>
      </c>
      <c r="W41" s="166">
        <v>3500</v>
      </c>
    </row>
    <row r="42" spans="7:23" ht="15.75">
      <c r="G42" s="177" t="s">
        <v>5</v>
      </c>
      <c r="H42" s="20"/>
      <c r="I42" s="20"/>
      <c r="J42" s="20"/>
      <c r="K42" s="20"/>
      <c r="L42" s="178"/>
      <c r="M42" s="178"/>
      <c r="N42" s="162"/>
      <c r="O42" s="162"/>
      <c r="P42" s="178"/>
      <c r="Q42" s="178"/>
      <c r="R42" s="178"/>
      <c r="S42" s="178"/>
      <c r="T42" s="178"/>
      <c r="U42" s="178"/>
      <c r="V42" s="20"/>
      <c r="W42" s="20"/>
    </row>
    <row r="43" spans="7:23" ht="15.75">
      <c r="G43" s="21" t="s">
        <v>339</v>
      </c>
      <c r="H43" s="180">
        <v>2016</v>
      </c>
      <c r="I43" s="181">
        <v>4</v>
      </c>
      <c r="J43" s="31" t="s">
        <v>157</v>
      </c>
      <c r="K43" s="179">
        <v>10</v>
      </c>
      <c r="L43" s="269">
        <v>3300</v>
      </c>
      <c r="M43" s="176">
        <v>3400</v>
      </c>
      <c r="N43" s="16">
        <v>3900</v>
      </c>
      <c r="O43" s="176">
        <v>4200</v>
      </c>
      <c r="P43" s="16">
        <v>4700</v>
      </c>
      <c r="Q43" s="176">
        <v>6000</v>
      </c>
      <c r="R43" s="269">
        <v>4700</v>
      </c>
      <c r="S43" s="176">
        <v>4000</v>
      </c>
      <c r="T43" s="16">
        <v>3500</v>
      </c>
      <c r="U43" s="176">
        <v>3400</v>
      </c>
      <c r="V43" s="269">
        <v>3300</v>
      </c>
      <c r="W43" s="166">
        <v>3500</v>
      </c>
    </row>
    <row r="44" spans="7:23" ht="15.75">
      <c r="G44" s="452"/>
      <c r="H44" s="546"/>
      <c r="I44" s="546"/>
      <c r="J44" s="546"/>
      <c r="K44" s="546"/>
      <c r="L44" s="546"/>
      <c r="M44" s="546"/>
      <c r="N44" s="183"/>
      <c r="O44" s="183"/>
      <c r="P44" s="183"/>
      <c r="Q44" s="183"/>
      <c r="R44" s="183"/>
      <c r="S44" s="184"/>
      <c r="T44" s="158"/>
      <c r="U44" s="158"/>
      <c r="V44" s="12"/>
      <c r="W44" s="12"/>
    </row>
    <row r="45" spans="7:23" ht="15.75">
      <c r="G45" s="310" t="s">
        <v>522</v>
      </c>
      <c r="H45" s="311"/>
      <c r="I45" s="311"/>
      <c r="J45" s="311"/>
      <c r="K45" s="311"/>
      <c r="L45" s="311"/>
      <c r="M45" s="311"/>
      <c r="N45" s="312"/>
      <c r="O45" s="312"/>
      <c r="P45" s="313"/>
      <c r="Q45" s="314"/>
      <c r="R45" s="183"/>
      <c r="S45" s="184"/>
      <c r="T45" s="158"/>
      <c r="U45" s="158"/>
      <c r="V45" s="12"/>
      <c r="W45" s="12"/>
    </row>
    <row r="46" spans="7:23" ht="15.75">
      <c r="G46" s="315"/>
      <c r="H46" s="316"/>
      <c r="I46" s="316"/>
      <c r="J46" s="316"/>
      <c r="K46" s="316"/>
      <c r="L46" s="316"/>
      <c r="M46" s="316"/>
      <c r="N46" s="316"/>
      <c r="O46" s="316"/>
      <c r="P46" s="316"/>
      <c r="Q46" s="317"/>
      <c r="R46" s="183"/>
      <c r="S46" s="184"/>
      <c r="T46" s="158"/>
      <c r="U46" s="158"/>
      <c r="V46" s="12"/>
      <c r="W46" s="12"/>
    </row>
    <row r="47" spans="7:23" ht="15.75">
      <c r="G47" s="252"/>
      <c r="H47" s="277"/>
      <c r="I47" s="277"/>
      <c r="J47" s="277"/>
      <c r="K47" s="277"/>
      <c r="L47" s="277"/>
      <c r="M47" s="277"/>
      <c r="N47" s="277"/>
      <c r="O47" s="277"/>
      <c r="P47" s="277"/>
      <c r="Q47" s="277"/>
      <c r="R47" s="183"/>
      <c r="S47" s="184"/>
      <c r="T47" s="158"/>
      <c r="U47" s="158"/>
      <c r="V47" s="12"/>
      <c r="W47" s="12"/>
    </row>
    <row r="48" spans="7:23" ht="15.75" customHeight="1">
      <c r="G48" s="23" t="s">
        <v>571</v>
      </c>
      <c r="H48" s="547" t="s">
        <v>211</v>
      </c>
      <c r="I48" s="547"/>
      <c r="J48" s="547"/>
      <c r="K48" s="547"/>
      <c r="L48" s="547"/>
      <c r="M48" s="547"/>
      <c r="N48" s="547"/>
      <c r="O48" s="547"/>
      <c r="P48" s="547"/>
      <c r="Q48" s="547"/>
      <c r="R48" s="548"/>
      <c r="S48" s="548"/>
      <c r="T48" s="548"/>
      <c r="U48" s="548"/>
      <c r="V48" s="548"/>
      <c r="W48" s="548"/>
    </row>
    <row r="49" spans="7:23" ht="15.75" customHeight="1">
      <c r="G49" s="401" t="s">
        <v>572</v>
      </c>
      <c r="H49" s="532" t="s">
        <v>573</v>
      </c>
      <c r="I49" s="532"/>
      <c r="J49" s="532"/>
      <c r="K49" s="532"/>
      <c r="L49" s="532"/>
      <c r="M49" s="532"/>
      <c r="N49" s="532"/>
      <c r="O49" s="532"/>
      <c r="P49" s="532"/>
      <c r="Q49" s="532"/>
      <c r="R49" s="548"/>
      <c r="S49" s="548"/>
      <c r="T49" s="548"/>
      <c r="U49" s="548"/>
      <c r="V49" s="548"/>
      <c r="W49" s="548"/>
    </row>
    <row r="50" spans="7:23" ht="15.75" customHeight="1">
      <c r="G50" s="433"/>
      <c r="H50" s="548"/>
      <c r="I50" s="548"/>
      <c r="J50" s="548"/>
      <c r="K50" s="548"/>
      <c r="L50" s="548"/>
      <c r="M50" s="548"/>
      <c r="N50" s="548"/>
      <c r="O50" s="548"/>
      <c r="P50" s="548"/>
      <c r="Q50" s="548"/>
      <c r="R50" s="548"/>
      <c r="S50" s="548"/>
      <c r="T50" s="548"/>
      <c r="U50" s="548"/>
      <c r="V50" s="548"/>
      <c r="W50" s="548"/>
    </row>
    <row r="51" spans="7:23" ht="21">
      <c r="G51" s="554" t="s">
        <v>248</v>
      </c>
      <c r="H51" s="554"/>
      <c r="I51" s="554"/>
      <c r="J51" s="555"/>
      <c r="K51" s="28"/>
      <c r="L51" s="189"/>
      <c r="M51" s="189"/>
      <c r="N51" s="189"/>
      <c r="O51" s="189"/>
      <c r="P51" s="189"/>
      <c r="Q51" s="189"/>
      <c r="R51" s="190"/>
      <c r="S51" s="190"/>
      <c r="T51" s="28"/>
      <c r="U51" s="28"/>
      <c r="V51" s="7"/>
      <c r="W51" s="7"/>
    </row>
    <row r="52" spans="7:23" ht="15.75" customHeight="1">
      <c r="G52" s="270" t="s">
        <v>15</v>
      </c>
      <c r="H52" s="556" t="s">
        <v>574</v>
      </c>
      <c r="I52" s="556"/>
      <c r="J52" s="556"/>
      <c r="K52" s="556"/>
      <c r="L52" s="556"/>
      <c r="M52" s="556"/>
      <c r="N52" s="556"/>
      <c r="O52" s="556"/>
      <c r="P52" s="556"/>
      <c r="Q52" s="556"/>
      <c r="R52" s="313"/>
      <c r="S52" s="313"/>
      <c r="T52" s="313"/>
      <c r="U52" s="313"/>
      <c r="V52" s="313"/>
      <c r="W52" s="314"/>
    </row>
    <row r="53" spans="7:23" ht="31.5" customHeight="1">
      <c r="G53" s="271" t="s">
        <v>575</v>
      </c>
      <c r="H53" s="557" t="s">
        <v>576</v>
      </c>
      <c r="I53" s="557"/>
      <c r="J53" s="557"/>
      <c r="K53" s="557"/>
      <c r="L53" s="557"/>
      <c r="M53" s="557"/>
      <c r="N53" s="557"/>
      <c r="O53" s="557"/>
      <c r="P53" s="557"/>
      <c r="Q53" s="557"/>
      <c r="R53" s="316"/>
      <c r="S53" s="316"/>
      <c r="T53" s="316"/>
      <c r="U53" s="316"/>
      <c r="V53" s="316"/>
      <c r="W53" s="317"/>
    </row>
    <row r="54" spans="7:23" ht="15.75" customHeight="1">
      <c r="G54" s="367" t="s">
        <v>577</v>
      </c>
      <c r="H54" s="549" t="s">
        <v>32</v>
      </c>
      <c r="I54" s="550"/>
      <c r="J54" s="550"/>
      <c r="K54" s="550"/>
      <c r="L54" s="550"/>
      <c r="M54" s="550"/>
      <c r="N54" s="550"/>
      <c r="O54" s="550"/>
      <c r="P54" s="550"/>
      <c r="Q54" s="550"/>
      <c r="R54" s="550"/>
      <c r="S54" s="550"/>
      <c r="T54" s="551" t="s">
        <v>93</v>
      </c>
      <c r="U54" s="449"/>
      <c r="V54" s="449"/>
      <c r="W54" s="552"/>
    </row>
    <row r="55" spans="7:23" ht="15.75" customHeight="1">
      <c r="G55" s="351"/>
      <c r="H55" s="553" t="s">
        <v>578</v>
      </c>
      <c r="I55" s="308"/>
      <c r="J55" s="308"/>
      <c r="K55" s="308"/>
      <c r="L55" s="308"/>
      <c r="M55" s="308"/>
      <c r="N55" s="308"/>
      <c r="O55" s="308"/>
      <c r="P55" s="308"/>
      <c r="Q55" s="308"/>
      <c r="R55" s="308"/>
      <c r="S55" s="308"/>
      <c r="T55" s="308"/>
      <c r="U55" s="308"/>
      <c r="V55" s="308"/>
      <c r="W55" s="309"/>
    </row>
    <row r="56" spans="7:23" ht="18" customHeight="1">
      <c r="G56" s="558" t="s">
        <v>579</v>
      </c>
      <c r="H56" s="547" t="s">
        <v>580</v>
      </c>
      <c r="I56" s="547"/>
      <c r="J56" s="547"/>
      <c r="K56" s="547"/>
      <c r="L56" s="547"/>
      <c r="M56" s="547"/>
      <c r="N56" s="547"/>
      <c r="O56" s="547"/>
      <c r="P56" s="547"/>
      <c r="Q56" s="547"/>
      <c r="R56" s="548"/>
      <c r="S56" s="548"/>
      <c r="T56" s="548"/>
      <c r="U56" s="548"/>
      <c r="V56" s="548"/>
      <c r="W56" s="548"/>
    </row>
    <row r="57" spans="7:23" ht="15.75" customHeight="1">
      <c r="G57" s="559"/>
      <c r="H57" s="547" t="s">
        <v>581</v>
      </c>
      <c r="I57" s="547"/>
      <c r="J57" s="547"/>
      <c r="K57" s="547"/>
      <c r="L57" s="547"/>
      <c r="M57" s="547"/>
      <c r="N57" s="547"/>
      <c r="O57" s="547"/>
      <c r="P57" s="547"/>
      <c r="Q57" s="547"/>
      <c r="R57" s="548"/>
      <c r="S57" s="548"/>
      <c r="T57" s="548"/>
      <c r="U57" s="548"/>
      <c r="V57" s="548"/>
      <c r="W57" s="548"/>
    </row>
    <row r="58" spans="7:23" ht="15.75" customHeight="1">
      <c r="G58" s="560"/>
      <c r="H58" s="547" t="s">
        <v>582</v>
      </c>
      <c r="I58" s="547"/>
      <c r="J58" s="547"/>
      <c r="K58" s="547"/>
      <c r="L58" s="547"/>
      <c r="M58" s="547"/>
      <c r="N58" s="547"/>
      <c r="O58" s="547"/>
      <c r="P58" s="547"/>
      <c r="Q58" s="547"/>
      <c r="R58" s="548"/>
      <c r="S58" s="548"/>
      <c r="T58" s="548"/>
      <c r="U58" s="548"/>
      <c r="V58" s="548"/>
      <c r="W58" s="548"/>
    </row>
    <row r="59" spans="7:23" ht="15.75" customHeight="1">
      <c r="G59" s="9" t="s">
        <v>100</v>
      </c>
      <c r="H59" s="28"/>
      <c r="I59" s="28"/>
      <c r="J59" s="28"/>
      <c r="K59" s="28"/>
      <c r="L59" s="189"/>
      <c r="M59" s="189"/>
      <c r="N59" s="189"/>
      <c r="O59" s="189"/>
      <c r="P59" s="189"/>
      <c r="Q59" s="189"/>
      <c r="R59" s="190"/>
      <c r="S59" s="190"/>
      <c r="T59" s="28"/>
      <c r="U59" s="28"/>
      <c r="V59" s="7"/>
      <c r="W59" s="7"/>
    </row>
    <row r="60" spans="7:23" ht="15.75" customHeight="1">
      <c r="G60" s="325" t="s">
        <v>2</v>
      </c>
      <c r="H60" s="327" t="s">
        <v>457</v>
      </c>
      <c r="I60" s="328"/>
      <c r="J60" s="328"/>
      <c r="K60" s="328"/>
      <c r="L60" s="328"/>
      <c r="M60" s="328"/>
      <c r="N60" s="328"/>
      <c r="O60" s="328"/>
      <c r="P60" s="328"/>
      <c r="Q60" s="329"/>
      <c r="R60" s="333" t="s">
        <v>71</v>
      </c>
      <c r="S60" s="334"/>
      <c r="T60" s="561" t="s">
        <v>73</v>
      </c>
      <c r="U60" s="562"/>
      <c r="V60" s="562"/>
      <c r="W60" s="563"/>
    </row>
    <row r="61" spans="7:23" ht="15.75" customHeight="1">
      <c r="G61" s="326"/>
      <c r="H61" s="302" t="s">
        <v>66</v>
      </c>
      <c r="I61" s="292"/>
      <c r="J61" s="292"/>
      <c r="K61" s="292"/>
      <c r="L61" s="292"/>
      <c r="M61" s="292"/>
      <c r="N61" s="292"/>
      <c r="O61" s="292"/>
      <c r="P61" s="292"/>
      <c r="Q61" s="303"/>
      <c r="R61" s="335" t="s">
        <v>72</v>
      </c>
      <c r="S61" s="336"/>
      <c r="T61" s="339" t="s">
        <v>583</v>
      </c>
      <c r="U61" s="374"/>
      <c r="V61" s="374"/>
      <c r="W61" s="340"/>
    </row>
    <row r="62" spans="7:23" ht="15.75" customHeight="1">
      <c r="G62" s="326"/>
      <c r="H62" s="302" t="s">
        <v>67</v>
      </c>
      <c r="I62" s="292"/>
      <c r="J62" s="292"/>
      <c r="K62" s="292"/>
      <c r="L62" s="292"/>
      <c r="M62" s="292"/>
      <c r="N62" s="292"/>
      <c r="O62" s="292"/>
      <c r="P62" s="292"/>
      <c r="Q62" s="303"/>
      <c r="R62" s="364"/>
      <c r="S62" s="365"/>
      <c r="T62" s="302"/>
      <c r="U62" s="292"/>
      <c r="V62" s="292"/>
      <c r="W62" s="303"/>
    </row>
    <row r="63" spans="7:23" ht="15.75" customHeight="1">
      <c r="G63" s="326"/>
      <c r="H63" s="302" t="s">
        <v>364</v>
      </c>
      <c r="I63" s="292"/>
      <c r="J63" s="292"/>
      <c r="K63" s="292"/>
      <c r="L63" s="292"/>
      <c r="M63" s="292"/>
      <c r="N63" s="292"/>
      <c r="O63" s="292"/>
      <c r="P63" s="292"/>
      <c r="Q63" s="303"/>
      <c r="R63" s="362"/>
      <c r="S63" s="366"/>
      <c r="T63" s="347"/>
      <c r="U63" s="348"/>
      <c r="V63" s="348"/>
      <c r="W63" s="349"/>
    </row>
    <row r="64" spans="7:23" ht="15.75" customHeight="1">
      <c r="G64" s="326"/>
      <c r="H64" s="302" t="s">
        <v>301</v>
      </c>
      <c r="I64" s="292"/>
      <c r="J64" s="292"/>
      <c r="K64" s="292"/>
      <c r="L64" s="292"/>
      <c r="M64" s="292"/>
      <c r="N64" s="292"/>
      <c r="O64" s="292"/>
      <c r="P64" s="292"/>
      <c r="Q64" s="303"/>
      <c r="R64" s="425" t="s">
        <v>10</v>
      </c>
      <c r="S64" s="425"/>
      <c r="T64" s="341" t="s">
        <v>69</v>
      </c>
      <c r="U64" s="342"/>
      <c r="V64" s="342"/>
      <c r="W64" s="460"/>
    </row>
    <row r="65" spans="7:23" ht="15.75" customHeight="1">
      <c r="G65" s="326"/>
      <c r="H65" s="302" t="s">
        <v>512</v>
      </c>
      <c r="I65" s="292"/>
      <c r="J65" s="292"/>
      <c r="K65" s="292"/>
      <c r="L65" s="292"/>
      <c r="M65" s="292"/>
      <c r="N65" s="292"/>
      <c r="O65" s="292"/>
      <c r="P65" s="292"/>
      <c r="Q65" s="303"/>
      <c r="R65" s="345"/>
      <c r="S65" s="345"/>
      <c r="T65" s="302" t="s">
        <v>354</v>
      </c>
      <c r="U65" s="292"/>
      <c r="V65" s="292"/>
      <c r="W65" s="303"/>
    </row>
    <row r="66" spans="7:23" ht="15.75" customHeight="1">
      <c r="G66" s="326"/>
      <c r="H66" s="302" t="s">
        <v>589</v>
      </c>
      <c r="I66" s="292"/>
      <c r="J66" s="292"/>
      <c r="K66" s="292"/>
      <c r="L66" s="292"/>
      <c r="M66" s="292"/>
      <c r="N66" s="253"/>
      <c r="O66" s="253"/>
      <c r="P66" s="253"/>
      <c r="Q66" s="253"/>
      <c r="R66" s="345"/>
      <c r="S66" s="345"/>
      <c r="T66" s="302"/>
      <c r="U66" s="292"/>
      <c r="V66" s="292"/>
      <c r="W66" s="303"/>
    </row>
    <row r="67" spans="7:23" ht="15.75" customHeight="1">
      <c r="G67" s="326"/>
      <c r="H67" s="381" t="s">
        <v>87</v>
      </c>
      <c r="I67" s="382"/>
      <c r="J67" s="382"/>
      <c r="K67" s="382"/>
      <c r="L67" s="382"/>
      <c r="M67" s="382"/>
      <c r="N67" s="382"/>
      <c r="O67" s="382"/>
      <c r="P67" s="382"/>
      <c r="Q67" s="382"/>
      <c r="R67" s="345"/>
      <c r="S67" s="345"/>
      <c r="T67" s="347"/>
      <c r="U67" s="348"/>
      <c r="V67" s="348"/>
      <c r="W67" s="349"/>
    </row>
    <row r="68" spans="7:23" ht="15.75" customHeight="1">
      <c r="G68" s="325" t="s">
        <v>101</v>
      </c>
      <c r="H68" s="339" t="s">
        <v>584</v>
      </c>
      <c r="I68" s="374"/>
      <c r="J68" s="374"/>
      <c r="K68" s="374"/>
      <c r="L68" s="374"/>
      <c r="M68" s="374"/>
      <c r="N68" s="374"/>
      <c r="O68" s="374"/>
      <c r="P68" s="374"/>
      <c r="Q68" s="340"/>
      <c r="R68" s="339" t="s">
        <v>585</v>
      </c>
      <c r="S68" s="374"/>
      <c r="T68" s="374"/>
      <c r="U68" s="374"/>
      <c r="V68" s="374"/>
      <c r="W68" s="340"/>
    </row>
    <row r="69" spans="7:23" ht="15.75" customHeight="1">
      <c r="G69" s="326"/>
      <c r="H69" s="302" t="s">
        <v>586</v>
      </c>
      <c r="I69" s="292"/>
      <c r="J69" s="292"/>
      <c r="K69" s="292"/>
      <c r="L69" s="292"/>
      <c r="M69" s="292"/>
      <c r="N69" s="292"/>
      <c r="O69" s="292"/>
      <c r="P69" s="292"/>
      <c r="Q69" s="303"/>
      <c r="R69" s="302"/>
      <c r="S69" s="292"/>
      <c r="T69" s="292"/>
      <c r="U69" s="292"/>
      <c r="V69" s="292"/>
      <c r="W69" s="303"/>
    </row>
    <row r="70" spans="7:23" ht="15.75" customHeight="1">
      <c r="G70" s="375"/>
      <c r="H70" s="347" t="s">
        <v>587</v>
      </c>
      <c r="I70" s="348"/>
      <c r="J70" s="348"/>
      <c r="K70" s="348"/>
      <c r="L70" s="348"/>
      <c r="M70" s="348"/>
      <c r="N70" s="348"/>
      <c r="O70" s="348"/>
      <c r="P70" s="348"/>
      <c r="Q70" s="349"/>
      <c r="R70" s="347"/>
      <c r="S70" s="348"/>
      <c r="T70" s="348"/>
      <c r="U70" s="348"/>
      <c r="V70" s="348"/>
      <c r="W70" s="349"/>
    </row>
    <row r="71" spans="7:23" ht="37.5" customHeight="1">
      <c r="G71" s="260" t="s">
        <v>102</v>
      </c>
      <c r="H71" s="341" t="s">
        <v>359</v>
      </c>
      <c r="I71" s="342"/>
      <c r="J71" s="342"/>
      <c r="K71" s="342"/>
      <c r="L71" s="342"/>
      <c r="M71" s="342"/>
      <c r="N71" s="255"/>
      <c r="O71" s="251"/>
      <c r="P71" s="251"/>
      <c r="Q71" s="256" t="s">
        <v>75</v>
      </c>
      <c r="R71" s="341" t="s">
        <v>360</v>
      </c>
      <c r="S71" s="342"/>
      <c r="T71" s="342"/>
      <c r="U71" s="342"/>
      <c r="V71" s="342"/>
      <c r="W71" s="460"/>
    </row>
    <row r="72" spans="7:23" ht="15.75" customHeight="1">
      <c r="G72" s="259" t="s">
        <v>13</v>
      </c>
      <c r="H72" s="347" t="s">
        <v>361</v>
      </c>
      <c r="I72" s="348"/>
      <c r="J72" s="348"/>
      <c r="K72" s="348"/>
      <c r="L72" s="348"/>
      <c r="M72" s="348"/>
      <c r="N72" s="254"/>
      <c r="O72" s="341"/>
      <c r="P72" s="342"/>
      <c r="Q72" s="342"/>
      <c r="R72" s="342"/>
      <c r="S72" s="342"/>
      <c r="T72" s="342"/>
      <c r="U72" s="342"/>
      <c r="V72" s="342"/>
      <c r="W72" s="460"/>
    </row>
    <row r="73" spans="7:23" ht="15.75" customHeight="1"/>
    <row r="74" spans="7:23" ht="15.75" customHeight="1"/>
    <row r="75" spans="7:23" ht="15.75" customHeight="1"/>
    <row r="76" spans="7:23" ht="15.75" customHeight="1"/>
    <row r="77" spans="7:23" ht="15.75" customHeight="1"/>
    <row r="79" spans="7:23" ht="15.75" customHeight="1"/>
    <row r="80" spans="7:2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21" customHeight="1"/>
    <row r="93" ht="85.5" customHeight="1"/>
    <row r="94" ht="84.75" customHeight="1"/>
    <row r="95" ht="192.75" customHeight="1"/>
    <row r="96" ht="18.75" customHeight="1"/>
    <row r="97" ht="15.75" customHeight="1"/>
  </sheetData>
  <mergeCells count="96">
    <mergeCell ref="G45:Q46"/>
    <mergeCell ref="S36:S37"/>
    <mergeCell ref="T36:T37"/>
    <mergeCell ref="U36:U37"/>
    <mergeCell ref="H36:H37"/>
    <mergeCell ref="I36:I37"/>
    <mergeCell ref="J36:J37"/>
    <mergeCell ref="K36:K37"/>
    <mergeCell ref="L36:L37"/>
    <mergeCell ref="H69:Q69"/>
    <mergeCell ref="H70:Q70"/>
    <mergeCell ref="H71:M71"/>
    <mergeCell ref="R71:W71"/>
    <mergeCell ref="H72:M72"/>
    <mergeCell ref="O72:W72"/>
    <mergeCell ref="G60:G67"/>
    <mergeCell ref="H60:Q60"/>
    <mergeCell ref="R60:S60"/>
    <mergeCell ref="T60:W60"/>
    <mergeCell ref="H61:Q61"/>
    <mergeCell ref="R61:S63"/>
    <mergeCell ref="T61:W63"/>
    <mergeCell ref="H62:Q62"/>
    <mergeCell ref="H63:Q63"/>
    <mergeCell ref="H64:Q64"/>
    <mergeCell ref="R64:S67"/>
    <mergeCell ref="T64:W64"/>
    <mergeCell ref="H65:Q65"/>
    <mergeCell ref="T65:W67"/>
    <mergeCell ref="H66:M66"/>
    <mergeCell ref="H67:Q67"/>
    <mergeCell ref="G20:H20"/>
    <mergeCell ref="P18:P19"/>
    <mergeCell ref="Q18:Q19"/>
    <mergeCell ref="R18:R19"/>
    <mergeCell ref="G49:G50"/>
    <mergeCell ref="H49:W50"/>
    <mergeCell ref="V36:V37"/>
    <mergeCell ref="W36:W37"/>
    <mergeCell ref="G38:H38"/>
    <mergeCell ref="M36:M37"/>
    <mergeCell ref="N36:N37"/>
    <mergeCell ref="O36:O37"/>
    <mergeCell ref="P36:P37"/>
    <mergeCell ref="Q36:Q37"/>
    <mergeCell ref="R36:R37"/>
    <mergeCell ref="G36:G37"/>
    <mergeCell ref="S18:S19"/>
    <mergeCell ref="T18:T19"/>
    <mergeCell ref="U18:U19"/>
    <mergeCell ref="V18:V19"/>
    <mergeCell ref="W18:W19"/>
    <mergeCell ref="V3:V4"/>
    <mergeCell ref="W3:W4"/>
    <mergeCell ref="G15:M15"/>
    <mergeCell ref="G18:G19"/>
    <mergeCell ref="H18:H19"/>
    <mergeCell ref="I18:I19"/>
    <mergeCell ref="J18:J19"/>
    <mergeCell ref="K18:K19"/>
    <mergeCell ref="L18:L19"/>
    <mergeCell ref="M18:M19"/>
    <mergeCell ref="L3:L4"/>
    <mergeCell ref="M3:M4"/>
    <mergeCell ref="N3:N4"/>
    <mergeCell ref="P3:P4"/>
    <mergeCell ref="N18:N19"/>
    <mergeCell ref="O18:O19"/>
    <mergeCell ref="G68:G70"/>
    <mergeCell ref="H68:Q68"/>
    <mergeCell ref="R68:W70"/>
    <mergeCell ref="G44:M44"/>
    <mergeCell ref="H48:W48"/>
    <mergeCell ref="G54:G55"/>
    <mergeCell ref="H54:S54"/>
    <mergeCell ref="T54:W54"/>
    <mergeCell ref="H55:W55"/>
    <mergeCell ref="G51:J51"/>
    <mergeCell ref="H52:W52"/>
    <mergeCell ref="H53:W53"/>
    <mergeCell ref="G56:G58"/>
    <mergeCell ref="H56:W56"/>
    <mergeCell ref="H57:W57"/>
    <mergeCell ref="H58:W58"/>
    <mergeCell ref="Q3:Q4"/>
    <mergeCell ref="R3:R4"/>
    <mergeCell ref="S3:S4"/>
    <mergeCell ref="T3:T4"/>
    <mergeCell ref="U3:U4"/>
    <mergeCell ref="K3:K4"/>
    <mergeCell ref="O3:O4"/>
    <mergeCell ref="G5:H5"/>
    <mergeCell ref="G3:G4"/>
    <mergeCell ref="H3:H4"/>
    <mergeCell ref="I3:I4"/>
    <mergeCell ref="J3:J4"/>
  </mergeCells>
  <printOptions horizontalCentered="1"/>
  <pageMargins left="0.39000000000000007" right="0.39000000000000007" top="1.71" bottom="0.98" header="0.51" footer="0.51"/>
  <pageSetup paperSize="9" scale="41" fitToHeight="0" orientation="portrait" r:id="rId1"/>
  <headerFooter>
    <oddHeader>&amp;L&amp;"Garamond Premr Pro,Regular"&amp;20&amp;K001892PRICE LIST 2018&amp;16
&amp;20Navigare Yachting - Greece&amp;16
&amp;14Central Booking office: +385 (0)1 2331 661
E-mail: reservations@navigare-yachting.com
www.navigare-yachting.com
&amp;C&amp;"Garamond Premr Pro,Regular"&amp;12 &amp;R&amp;G</oddHeader>
    <oddFooter xml:space="preserve">&amp;C&amp;"Garamond Premr Pro,Regular"&amp;12&amp;K001892Navigare Yachting 
Croatia - Greece - Turkey - Thailand - BVI - Maldives- Sweden - Italy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Croatia</vt:lpstr>
      <vt:lpstr>Croatia Cabin Charter</vt:lpstr>
      <vt:lpstr>Greece</vt:lpstr>
      <vt:lpstr>BVI</vt:lpstr>
      <vt:lpstr>Sweden</vt:lpstr>
      <vt:lpstr>Thailand</vt:lpstr>
      <vt:lpstr>Maldives</vt:lpstr>
      <vt:lpstr>Turkey</vt:lpstr>
      <vt:lpstr>Italy</vt:lpstr>
      <vt:lpstr>Spain</vt:lpstr>
      <vt:lpstr>Croatia!Print_Area</vt:lpstr>
      <vt:lpstr>'Croatia Cabin Charter'!Print_Area</vt:lpstr>
      <vt:lpstr>Maldives!Print_Area</vt:lpstr>
      <vt:lpstr>Thailand!Print_Area</vt:lpstr>
      <vt:lpstr>Turkey!Print_Area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Lilja</dc:creator>
  <cp:lastModifiedBy>Mijo</cp:lastModifiedBy>
  <cp:lastPrinted>2017-05-29T14:29:51Z</cp:lastPrinted>
  <dcterms:created xsi:type="dcterms:W3CDTF">2010-08-06T07:08:59Z</dcterms:created>
  <dcterms:modified xsi:type="dcterms:W3CDTF">2018-03-27T09:09:46Z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false</vt:lpwstr>
  </property>
  <property fmtid="{D5CDD505-2E9C-101B-9397-08002B2CF9AE}" pid="3" name="Google.Documents.DocumentId">
    <vt:lpwstr>1fCF8rLjSh__XaG6EQ09DkDNRA7KZombFNfc-sPegc0w</vt:lpwstr>
  </property>
  <property fmtid="{D5CDD505-2E9C-101B-9397-08002B2CF9AE}" pid="4" name="Google.Documents.RevisionId">
    <vt:lpwstr>18293570309594225957</vt:lpwstr>
  </property>
  <property fmtid="{D5CDD505-2E9C-101B-9397-08002B2CF9AE}" pid="5" name="Google.Documents.PluginVersion">
    <vt:lpwstr>2.0.2154.5604</vt:lpwstr>
  </property>
  <property fmtid="{D5CDD505-2E9C-101B-9397-08002B2CF9AE}" pid="6" name="Google.Documents.MergeIncapabilityFlags">
    <vt:i4>0</vt:i4>
  </property>
</Properties>
</file>